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6a228eae6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blick" sheetId="1" r:id="Rec992d9cdd964a54"/>
    <x:sheet xmlns:r="http://schemas.openxmlformats.org/officeDocument/2006/relationships" name="Annahmen" sheetId="2" r:id="R87a5882e5f2c4354"/>
    <x:sheet xmlns:r="http://schemas.openxmlformats.org/officeDocument/2006/relationships" name="Budget" sheetId="3" r:id="R68685d7124184985"/>
    <x:sheet xmlns:r="http://schemas.openxmlformats.org/officeDocument/2006/relationships" name="Liquidität" sheetId="4" r:id="R5f61e1975e4644e6"/>
    <x:sheet xmlns:r="http://schemas.openxmlformats.org/officeDocument/2006/relationships" name="Crowdfunding" sheetId="5" r:id="R51c55a2581d140f3"/>
    <x:sheet xmlns:r="http://schemas.openxmlformats.org/officeDocument/2006/relationships" name="Verwertung" sheetId="6" r:id="Rc8bb7dc8636447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0.0%"/>
    <x:numFmt numFmtId="202" formatCode="#,##0"/>
    <x:numFmt numFmtId="203" formatCode="&quot;€&quot; #,##0;(&quot;€&quot; #,##0);&quot;-&quot;"/>
    <x:numFmt numFmtId="204" formatCode="&quot;€&quot; 0.00"/>
  </x:numFmts>
  <x:fonts count="8">
    <x:font>
      <x:sz val="11"/>
      <x:name val="Carlito"/>
    </x:font>
    <x:font>
      <x:sz val="10"/>
      <x:color rgb="FF171A1C"/>
      <x:name val="Arial"/>
    </x:font>
    <x:font>
      <x:sz val="15"/>
      <x:color rgb="FF171A1C"/>
      <x:name val="Arial"/>
    </x:font>
    <x:font>
      <x:i/>
      <x:sz val="10"/>
      <x:color rgb="FF171A1C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111111"/>
      <x:name val="Arial"/>
    </x:font>
    <x:font>
      <x:sz val="10"/>
      <x:color rgb="FF00800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282C"/>
      </x:patternFill>
    </x:fill>
  </x:fills>
  <x:borders count="2">
    <x:border/>
    <x:border>
      <x:bottom style="thin">
        <x:color rgb="FF9D2534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e5b599d5f4ba1" /><Relationship Type="http://schemas.openxmlformats.org/officeDocument/2006/relationships/theme" Target="/xl/theme/theme1.xml" Id="Re5e396ba83a145ac" /><Relationship Type="http://schemas.openxmlformats.org/officeDocument/2006/relationships/sharedStrings" Target="/xl/sharedStrings.xml" Id="R04eefafb2b0d411b" /><Relationship Type="http://schemas.openxmlformats.org/officeDocument/2006/relationships/worksheet" Target="/xl/worksheets/sheet1.xml" Id="Rec992d9cdd964a54" /><Relationship Type="http://schemas.openxmlformats.org/officeDocument/2006/relationships/worksheet" Target="/xl/worksheets/sheet2.xml" Id="R87a5882e5f2c4354" /><Relationship Type="http://schemas.openxmlformats.org/officeDocument/2006/relationships/worksheet" Target="/xl/worksheets/sheet3.xml" Id="R68685d7124184985" /><Relationship Type="http://schemas.openxmlformats.org/officeDocument/2006/relationships/worksheet" Target="/xl/worksheets/sheet4.xml" Id="R5f61e1975e4644e6" /><Relationship Type="http://schemas.openxmlformats.org/officeDocument/2006/relationships/worksheet" Target="/xl/worksheets/sheet5.xml" Id="R51c55a2581d140f3" /><Relationship Type="http://schemas.openxmlformats.org/officeDocument/2006/relationships/worksheet" Target="/xl/worksheets/sheet6.xml" Id="Rc8bb7dc8636447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82C"/>
  </x:sheetPr>
  <x:sheetViews>
    <x:sheetView showGridLines="0" workbookViewId="0"/>
  </x:sheetViews>
  <x:sheetFormatPr defaultRowHeight="15"/>
  <x:cols>
    <x:col min="3" max="3" width="4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2" ht="22" customHeight="1">
      <x:c r="C2" s="4" t="str">
        <x:v>EAST WEST ECONOMICS · Überblick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2" customHeight="1">
      <x:c r="C3" s="6" t="str">
        <x:v>Planungsrechnung · EUR · Stand 01.10.2026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2" customHeight="1">
      <x:c r="C5" s="9" t="str">
        <x:v>Kennzahl</x:v>
      </x:c>
      <x:c r="D5" s="9" t="str"/>
      <x:c r="E5" s="9" t="str">
        <x:v>Aktives Szenario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2" customHeight="1">
      <x:c r="C6" s="2" t="str">
        <x:v>Szenario</x:v>
      </x:c>
      <x:c r="D6" s="2"/>
      <x:c r="E6" s="18" t="str">
        <x:f>CHOOSE(Annahmen!E4,"Vorsichtig","Basis","Wachstum")</x:f>
        <x:v>Basis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2" customHeight="1">
      <x:c r="C7" s="2" t="str">
        <x:v>Finanzierungsbedarf gesamt</x:v>
      </x:c>
      <x:c r="D7" s="2"/>
      <x:c r="E7" s="22" t="n">
        <x:f>Budget!O9</x:f>
        <x:v>1200000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2" customHeight="1">
      <x:c r="C8" s="2" t="str">
        <x:v>Phase A</x:v>
      </x:c>
      <x:c r="D8" s="2"/>
      <x:c r="E8" s="22" t="n">
        <x:f>Budget!O6</x:f>
        <x:v>180000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22" customHeight="1">
      <x:c r="C9" s="2" t="str">
        <x:v>Phase B</x:v>
      </x:c>
      <x:c r="D9" s="2"/>
      <x:c r="E9" s="22" t="n">
        <x:f>Budget!O7</x:f>
        <x:v>1020000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22" customHeight="1">
      <x:c r="C10" s="2" t="str">
        <x:v>Crowdfunding Bruttoziel</x:v>
      </x:c>
      <x:c r="D10" s="2"/>
      <x:c r="E10" s="22" t="n">
        <x:f>Crowdfunding!E6</x:f>
        <x:v>150000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2" customHeight="1">
      <x:c r="C11" s="2" t="str">
        <x:v>Crowdfunding nach Abzügen</x:v>
      </x:c>
      <x:c r="D11" s="2"/>
      <x:c r="E11" s="22" t="n">
        <x:f>Crowdfunding!E16</x:f>
        <x:v>95130.9075630252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2" customHeight="1">
      <x:c r="C12" s="2" t="str">
        <x:v>Privat-/Publisher-Bedarf</x:v>
      </x:c>
      <x:c r="D12" s="2"/>
      <x:c r="E12" s="22" t="n">
        <x:f>Crowdfunding!E20</x:f>
        <x:v>1104869.0924369749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2" customHeight="1">
      <x:c r="C13" s="2" t="str">
        <x:v>Retail-Stückzahl drei Jahre</x:v>
      </x:c>
      <x:c r="D13" s="2"/>
      <x:c r="E13" s="26" t="n">
        <x:f>Verwertung!G6</x:f>
        <x:v>150000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2" customHeight="1">
      <x:c r="C14" s="2" t="str">
        <x:v>Studio-Zuflüsse Retail/Erweiterung</x:v>
      </x:c>
      <x:c r="D14" s="2"/>
      <x:c r="E14" s="22" t="n">
        <x:f>Verwertung!G15</x:f>
        <x:v>2660560.5882352944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2" customHeight="1">
      <x:c r="C15" s="2" t="str">
        <x:v>Betriebskosten drei Jahre</x:v>
      </x:c>
      <x:c r="D15" s="2"/>
      <x:c r="E15" s="22" t="n">
        <x:f>Verwertung!G20</x:f>
        <x:v>839839.6799999999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2" customHeight="1">
      <x:c r="C16" s="2" t="str">
        <x:v>Projektdeckung inkl. CF</x:v>
      </x:c>
      <x:c r="D16" s="2"/>
      <x:c r="E16" s="22" t="n">
        <x:f>Verwertung!G26</x:f>
        <x:v>715851.8157983196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2" customHeight="1">
      <x:c r="C17" s="2" t="str">
        <x:v>Retail-Verkäufe für Budgetdeckung</x:v>
      </x:c>
      <x:c r="D17" s="2"/>
      <x:c r="E17" s="26" t="n">
        <x:f>Verwertung!G30</x:f>
        <x:v>106269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2" customHeight="1"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2" customHeight="1"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2" customHeight="1">
      <x:c r="C20" s="2" t="str">
        <x:v>Developer: Sascha Axmann · Publisher: sadigitalForce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2" customHeight="1">
      <x:c r="C21" s="2" t="str">
        <x:v>Budget und Absatz sind Planungsannahmen, keine Ist- oder Zusagewerte.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2" customHeight="1">
      <x:c r="C22" s="2" t="str">
        <x:v>Szenario nur in Annahmen!E4 ändern. Rechenblätter aktualisieren sich.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2" customHeight="1">
      <x:c r="C23" s="2" t="str">
        <x:v>Vorhandene Liquidität, Finanzierung und Wishlists sind nicht belegt.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2" customHeight="1">
      <x:c r="C24" s="2" t="str">
        <x:v>Crowdfunding zählt als Mittelzufluss, nicht zusätzlich als Retail-Umsatz.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2" customHeight="1">
      <x:c r="C25" s="2" t="str">
        <x:v>Die Börsen-/Beteiligungsstruktur und individuelle Konditionen bleiben offen.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2" customHeight="1"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2" customHeight="1"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2" customHeight="1"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2" customHeight="1"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2" customHeight="1"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2" customHeight="1"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2" customHeight="1"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2" customHeight="1"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2" customHeight="1"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2" customHeight="1"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2" customHeight="1"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2" customHeight="1"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2" customHeight="1"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2" customHeight="1"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2" customHeight="1"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2" customHeight="1"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2" customHeight="1"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2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2" customHeight="1"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2" customHeight="1"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2" customHeight="1"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2" customHeight="1"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2" customHeight="1"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2" customHeight="1"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2" customHeight="1"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2" customHeight="1"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2" customHeight="1"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2" customHeight="1"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2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2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2" customHeight="1"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2" customHeight="1"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2" customHeight="1"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2" customHeight="1"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2" customHeight="1"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2" customHeight="1"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2" customHeight="1"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2" customHeight="1"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2" customHeight="1"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2" customHeight="1"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B8586"/>
  </x:sheetPr>
  <x:sheetViews>
    <x:sheetView showGridLines="0" workbookViewId="0"/>
  </x:sheetViews>
  <x:sheetFormatPr defaultRowHeight="15"/>
  <x:cols>
    <x:col min="3" max="3" width="4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2" ht="22" customHeight="1">
      <x:c r="C2" s="4" t="str">
        <x:v>EAST WEST ECONOMICS · Annahmen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2" customHeight="1">
      <x:c r="C3" s="6" t="str">
        <x:v>Planungsrechnung · EUR · Stand 01.10.2026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2" customHeight="1">
      <x:c r="C4" s="2" t="str">
        <x:v>Szenario (1 Vorsichtig · 2 Basis · 3 Wachstum)</x:v>
      </x:c>
      <x:c r="D4" s="2"/>
      <x:c r="E4" s="7" t="n">
        <x:v>2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2" customHeight="1">
      <x:c r="C5" s="9" t="str">
        <x:v>Treiber</x:v>
      </x:c>
      <x:c r="D5" s="9" t="str">
        <x:v>Einheit</x:v>
      </x:c>
      <x:c r="E5" s="9" t="str">
        <x:v>Aktiv</x:v>
      </x:c>
      <x:c r="F5" s="9" t="str">
        <x:v>Vorsichtig</x:v>
      </x:c>
      <x:c r="G5" s="9" t="str">
        <x:v>Basis</x:v>
      </x:c>
      <x:c r="H5" s="9" t="str">
        <x:v>Wachstum</x:v>
      </x:c>
      <x:c r="I5" s="2"/>
      <x:c r="J5" s="2"/>
      <x:c r="K5" s="2"/>
      <x:c r="L5" s="2"/>
      <x:c r="M5" s="2"/>
      <x:c r="N5" s="2"/>
      <x:c r="O5" s="2"/>
    </x:row>
    <x:row r="6" ht="22" customHeight="1">
      <x:c r="C6" s="2" t="str">
        <x:v>Budgetfaktor</x:v>
      </x:c>
      <x:c r="D6" s="2" t="str">
        <x:v>Faktor</x:v>
      </x:c>
      <x:c r="E6" s="11" t="n">
        <x:f>CHOOSE($E$4,F6,G6,H6)</x:f>
        <x:v>1</x:v>
      </x:c>
      <x:c r="F6" s="12" t="n">
        <x:v>1.2</x:v>
      </x:c>
      <x:c r="G6" s="12" t="n">
        <x:v>1</x:v>
      </x:c>
      <x:c r="H6" s="12" t="n">
        <x:v>1.1</x:v>
      </x:c>
      <x:c r="I6" s="2"/>
      <x:c r="J6" s="2"/>
      <x:c r="K6" s="2"/>
      <x:c r="L6" s="2"/>
      <x:c r="M6" s="2"/>
      <x:c r="N6" s="2"/>
      <x:c r="O6" s="2"/>
    </x:row>
    <x:row r="7" ht="22" customHeight="1">
      <x:c r="C7" s="2" t="str">
        <x:v>Listenpreis brutto</x:v>
      </x:c>
      <x:c r="D7" s="2" t="str">
        <x:v>EUR</x:v>
      </x:c>
      <x:c r="E7" s="11" t="n">
        <x:f>CHOOSE($E$4,F7,G7,H7)</x:f>
        <x:v>34.9</x:v>
      </x:c>
      <x:c r="F7" s="12" t="n">
        <x:v>29.9</x:v>
      </x:c>
      <x:c r="G7" s="12" t="n">
        <x:v>34.9</x:v>
      </x:c>
      <x:c r="H7" s="12" t="n">
        <x:v>39.9</x:v>
      </x:c>
      <x:c r="I7" s="2"/>
      <x:c r="J7" s="2"/>
      <x:c r="K7" s="2"/>
      <x:c r="L7" s="2"/>
      <x:c r="M7" s="2"/>
      <x:c r="N7" s="2"/>
      <x:c r="O7" s="2"/>
    </x:row>
    <x:row r="8" ht="22" customHeight="1">
      <x:c r="C8" s="2" t="str">
        <x:v>Mittlerer Preisnachlass</x:v>
      </x:c>
      <x:c r="D8" s="2" t="str">
        <x:v>Quote</x:v>
      </x:c>
      <x:c r="E8" s="13" t="n">
        <x:f>CHOOSE($E$4,F8,G8,H8)</x:f>
        <x:v>0.15</x:v>
      </x:c>
      <x:c r="F8" s="14" t="n">
        <x:v>0.25</x:v>
      </x:c>
      <x:c r="G8" s="14" t="n">
        <x:v>0.15</x:v>
      </x:c>
      <x:c r="H8" s="14" t="n">
        <x:v>0.1</x:v>
      </x:c>
      <x:c r="I8" s="2"/>
      <x:c r="J8" s="2"/>
      <x:c r="K8" s="2"/>
      <x:c r="L8" s="2"/>
      <x:c r="M8" s="2"/>
      <x:c r="N8" s="2"/>
      <x:c r="O8" s="2"/>
    </x:row>
    <x:row r="9" ht="22" customHeight="1">
      <x:c r="C9" s="2" t="str">
        <x:v>Erstattungen</x:v>
      </x:c>
      <x:c r="D9" s="2" t="str">
        <x:v>Quote</x:v>
      </x:c>
      <x:c r="E9" s="13" t="n">
        <x:f>CHOOSE($E$4,F9,G9,H9)</x:f>
        <x:v>0.05</x:v>
      </x:c>
      <x:c r="F9" s="14" t="n">
        <x:v>0.1</x:v>
      </x:c>
      <x:c r="G9" s="14" t="n">
        <x:v>0.05</x:v>
      </x:c>
      <x:c r="H9" s="14" t="n">
        <x:v>0.03</x:v>
      </x:c>
      <x:c r="I9" s="2"/>
      <x:c r="J9" s="2"/>
      <x:c r="K9" s="2"/>
      <x:c r="L9" s="2"/>
      <x:c r="M9" s="2"/>
      <x:c r="N9" s="2"/>
      <x:c r="O9" s="2"/>
    </x:row>
    <x:row r="10" ht="22" customHeight="1">
      <x:c r="C10" s="2" t="str">
        <x:v>Retail-Verkäufe Jahr 1</x:v>
      </x:c>
      <x:c r="D10" s="2" t="str">
        <x:v>Stück</x:v>
      </x:c>
      <x:c r="E10" s="15" t="n">
        <x:f>CHOOSE($E$4,F10,G10,H10)</x:f>
        <x:v>40000</x:v>
      </x:c>
      <x:c r="F10" s="16" t="n">
        <x:v>10000</x:v>
      </x:c>
      <x:c r="G10" s="16" t="n">
        <x:v>40000</x:v>
      </x:c>
      <x:c r="H10" s="16" t="n">
        <x:v>80000</x:v>
      </x:c>
      <x:c r="I10" s="2"/>
      <x:c r="J10" s="2"/>
      <x:c r="K10" s="2"/>
      <x:c r="L10" s="2"/>
      <x:c r="M10" s="2"/>
      <x:c r="N10" s="2"/>
      <x:c r="O10" s="2"/>
    </x:row>
    <x:row r="11" ht="22" customHeight="1">
      <x:c r="C11" s="2" t="str">
        <x:v>Retail-Verkäufe Jahr 2</x:v>
      </x:c>
      <x:c r="D11" s="2" t="str">
        <x:v>Stück</x:v>
      </x:c>
      <x:c r="E11" s="15" t="n">
        <x:f>CHOOSE($E$4,F11,G11,H11)</x:f>
        <x:v>55000</x:v>
      </x:c>
      <x:c r="F11" s="16" t="n">
        <x:v>15000</x:v>
      </x:c>
      <x:c r="G11" s="16" t="n">
        <x:v>55000</x:v>
      </x:c>
      <x:c r="H11" s="16" t="n">
        <x:v>110000</x:v>
      </x:c>
      <x:c r="I11" s="2"/>
      <x:c r="J11" s="2"/>
      <x:c r="K11" s="2"/>
      <x:c r="L11" s="2"/>
      <x:c r="M11" s="2"/>
      <x:c r="N11" s="2"/>
      <x:c r="O11" s="2"/>
    </x:row>
    <x:row r="12" ht="22" customHeight="1">
      <x:c r="C12" s="2" t="str">
        <x:v>Retail-Verkäufe Jahr 3</x:v>
      </x:c>
      <x:c r="D12" s="2" t="str">
        <x:v>Stück</x:v>
      </x:c>
      <x:c r="E12" s="15" t="n">
        <x:f>CHOOSE($E$4,F12,G12,H12)</x:f>
        <x:v>55000</x:v>
      </x:c>
      <x:c r="F12" s="16" t="n">
        <x:v>10000</x:v>
      </x:c>
      <x:c r="G12" s="16" t="n">
        <x:v>55000</x:v>
      </x:c>
      <x:c r="H12" s="16" t="n">
        <x:v>110000</x:v>
      </x:c>
      <x:c r="I12" s="2"/>
      <x:c r="J12" s="2"/>
      <x:c r="K12" s="2"/>
      <x:c r="L12" s="2"/>
      <x:c r="M12" s="2"/>
      <x:c r="N12" s="2"/>
      <x:c r="O12" s="2"/>
    </x:row>
    <x:row r="13" ht="22" customHeight="1">
      <x:c r="C13" s="2" t="str">
        <x:v>Betriebsfixkosten pro Jahr</x:v>
      </x:c>
      <x:c r="D13" s="2" t="str">
        <x:v>EUR</x:v>
      </x:c>
      <x:c r="E13" s="11" t="n">
        <x:f>CHOOSE($E$4,F13,G13,H13)</x:f>
        <x:v>210000</x:v>
      </x:c>
      <x:c r="F13" s="12" t="n">
        <x:v>180000</x:v>
      </x:c>
      <x:c r="G13" s="12" t="n">
        <x:v>210000</x:v>
      </x:c>
      <x:c r="H13" s="12" t="n">
        <x:v>300000</x:v>
      </x:c>
      <x:c r="I13" s="2"/>
      <x:c r="J13" s="2"/>
      <x:c r="K13" s="2"/>
      <x:c r="L13" s="2"/>
      <x:c r="M13" s="2"/>
      <x:c r="N13" s="2"/>
      <x:c r="O13" s="2"/>
    </x:row>
    <x:row r="14" ht="22" customHeight="1">
      <x:c r="C14" s="2" t="str">
        <x:v>Aktive Nutzer / Eigentümer</x:v>
      </x:c>
      <x:c r="D14" s="2" t="str">
        <x:v>Quote</x:v>
      </x:c>
      <x:c r="E14" s="13" t="n">
        <x:f>CHOOSE($E$4,F14,G14,H14)</x:f>
        <x:v>0.2</x:v>
      </x:c>
      <x:c r="F14" s="14" t="n">
        <x:v>0.1</x:v>
      </x:c>
      <x:c r="G14" s="14" t="n">
        <x:v>0.2</x:v>
      </x:c>
      <x:c r="H14" s="14" t="n">
        <x:v>0.25</x:v>
      </x:c>
      <x:c r="I14" s="2"/>
      <x:c r="J14" s="2"/>
      <x:c r="K14" s="2"/>
      <x:c r="L14" s="2"/>
      <x:c r="M14" s="2"/>
      <x:c r="N14" s="2"/>
      <x:c r="O14" s="2"/>
    </x:row>
    <x:row r="15" ht="22" customHeight="1">
      <x:c r="C15" s="2" t="str">
        <x:v>Server pro aktivem Nutzer / Monat</x:v>
      </x:c>
      <x:c r="D15" s="2" t="str">
        <x:v>EUR</x:v>
      </x:c>
      <x:c r="E15" s="11" t="n">
        <x:f>CHOOSE($E$4,F15,G15,H15)</x:f>
        <x:v>0.3</x:v>
      </x:c>
      <x:c r="F15" s="12" t="n">
        <x:v>0.3</x:v>
      </x:c>
      <x:c r="G15" s="12" t="n">
        <x:v>0.3</x:v>
      </x:c>
      <x:c r="H15" s="12" t="n">
        <x:v>0.4</x:v>
      </x:c>
      <x:c r="I15" s="2"/>
      <x:c r="J15" s="2"/>
      <x:c r="K15" s="2"/>
      <x:c r="L15" s="2"/>
      <x:c r="M15" s="2"/>
      <x:c r="N15" s="2"/>
      <x:c r="O15" s="2"/>
    </x:row>
    <x:row r="16" ht="22" customHeight="1">
      <x:c r="C16" s="2" t="str">
        <x:v>Erweiterungskäufe / Eigentümer</x:v>
      </x:c>
      <x:c r="D16" s="2" t="str">
        <x:v>Quote</x:v>
      </x:c>
      <x:c r="E16" s="13" t="n">
        <x:f>CHOOSE($E$4,F16,G16,H16)</x:f>
        <x:v>0.15</x:v>
      </x:c>
      <x:c r="F16" s="14" t="n">
        <x:v>0</x:v>
      </x:c>
      <x:c r="G16" s="14" t="n">
        <x:v>0.15</x:v>
      </x:c>
      <x:c r="H16" s="14" t="n">
        <x:v>0.25</x:v>
      </x:c>
      <x:c r="I16" s="2"/>
      <x:c r="J16" s="2"/>
      <x:c r="K16" s="2"/>
      <x:c r="L16" s="2"/>
      <x:c r="M16" s="2"/>
      <x:c r="N16" s="2"/>
      <x:c r="O16" s="2"/>
    </x:row>
    <x:row r="17" ht="22" customHeight="1"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2" customHeight="1">
      <x:c r="C18" s="9" t="str">
        <x:v>Globale Annahmen</x:v>
      </x:c>
      <x:c r="D18" s="9" t="str"/>
      <x:c r="E18" s="9" t="str">
        <x:v>Wert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2" customHeight="1">
      <x:c r="C19" s="2" t="str">
        <x:v>Umsatzsteuer-Modellquote</x:v>
      </x:c>
      <x:c r="D19" s="2"/>
      <x:c r="E19" s="14" t="n">
        <x:v>0.19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2" customHeight="1">
      <x:c r="C20" s="2" t="str">
        <x:v>Plattformanteil (Annahme)</x:v>
      </x:c>
      <x:c r="D20" s="2"/>
      <x:c r="E20" s="14" t="n">
        <x:v>0.3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2" customHeight="1">
      <x:c r="C21" s="2" t="str">
        <x:v>Erweiterung brutto</x:v>
      </x:c>
      <x:c r="D21" s="2"/>
      <x:c r="E21" s="12" t="n">
        <x:v>14.9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2" customHeight="1">
      <x:c r="C22" s="2" t="str">
        <x:v>Erweiterung Preisnachlass</x:v>
      </x:c>
      <x:c r="D22" s="2"/>
      <x:c r="E22" s="14" t="n">
        <x:v>0.1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2" customHeight="1">
      <x:c r="C23" s="2" t="str">
        <x:v>Erweiterung Erstattungen</x:v>
      </x:c>
      <x:c r="D23" s="2"/>
      <x:c r="E23" s="14" t="n">
        <x:v>0.02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2" customHeight="1">
      <x:c r="C24" s="2" t="str">
        <x:v>Crowdfunding Bruttoziel</x:v>
      </x:c>
      <x:c r="D24" s="2"/>
      <x:c r="E24" s="12" t="n">
        <x:v>150000</x:v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2" customHeight="1">
      <x:c r="C25" s="2" t="str">
        <x:v>Zahlungsausfälle</x:v>
      </x:c>
      <x:c r="D25" s="2"/>
      <x:c r="E25" s="14" t="n">
        <x:v>0.03</x:v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2" customHeight="1">
      <x:c r="C26" s="2" t="str">
        <x:v>Crowdfunding Plattformquote</x:v>
      </x:c>
      <x:c r="D26" s="2"/>
      <x:c r="E26" s="14" t="n">
        <x:v>0.05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2" customHeight="1">
      <x:c r="C27" s="2" t="str">
        <x:v>Payment-Quote</x:v>
      </x:c>
      <x:c r="D27" s="2"/>
      <x:c r="E27" s="14" t="n">
        <x:v>0.03</x:v>
      </x:c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2" customHeight="1">
      <x:c r="C28" s="2" t="str">
        <x:v>Payment je Backer</x:v>
      </x:c>
      <x:c r="D28" s="2"/>
      <x:c r="E28" s="12" t="n">
        <x:v>0.3</x:v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2" customHeight="1">
      <x:c r="C29" s="2" t="str">
        <x:v>Crowdfunding Steuerreservequote</x:v>
      </x:c>
      <x:c r="D29" s="2"/>
      <x:c r="E29" s="14" t="n">
        <x:v>0.19</x:v>
      </x:c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2" customHeight="1">
      <x:c r="C30" s="2" t="str">
        <x:v>Reward-Kosten je Backer</x:v>
      </x:c>
      <x:c r="D30" s="2"/>
      <x:c r="E30" s="12" t="n">
        <x:v>6</x:v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2" customHeight="1">
      <x:c r="C31" s="2" t="str">
        <x:v>Lead-zu-Backer-Quote</x:v>
      </x:c>
      <x:c r="D31" s="2"/>
      <x:c r="E31" s="14" t="n">
        <x:v>0.1</x:v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2" customHeight="1"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2" customHeight="1"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2" customHeight="1">
      <x:c r="C34" s="2" t="str">
        <x:v>Reward-Stufe brutto</x:v>
      </x:c>
      <x:c r="D34" s="2" t="str">
        <x:v>Gewicht</x:v>
      </x:c>
      <x:c r="E34" s="2" t="str">
        <x:v>Gewichteter Beitrag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2" customHeight="1">
      <x:c r="C35" s="7" t="n">
        <x:v>15</x:v>
      </x:c>
      <x:c r="D35" s="14" t="n">
        <x:v>0.1</x:v>
      </x:c>
      <x:c r="E35" s="10" t="n">
        <x:f>C35*D35</x:f>
        <x:v>1.5</x:v>
      </x:c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2" customHeight="1">
      <x:c r="C36" s="7" t="n">
        <x:v>39</x:v>
      </x:c>
      <x:c r="D36" s="14" t="n">
        <x:v>0.5</x:v>
      </x:c>
      <x:c r="E36" s="10" t="n">
        <x:f>C36*D36</x:f>
        <x:v>19.5</x:v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2" customHeight="1">
      <x:c r="C37" s="7" t="n">
        <x:v>69</x:v>
      </x:c>
      <x:c r="D37" s="14" t="n">
        <x:v>0.25</x:v>
      </x:c>
      <x:c r="E37" s="10" t="n">
        <x:f>C37*D37</x:f>
        <x:v>17.25</x:v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2" customHeight="1">
      <x:c r="C38" s="7" t="n">
        <x:v>129</x:v>
      </x:c>
      <x:c r="D38" s="14" t="n">
        <x:v>0.13</x:v>
      </x:c>
      <x:c r="E38" s="10" t="n">
        <x:f>C38*D38</x:f>
        <x:v>16.77</x:v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2" customHeight="1">
      <x:c r="C39" s="7" t="n">
        <x:v>299</x:v>
      </x:c>
      <x:c r="D39" s="14" t="n">
        <x:v>0.02</x:v>
      </x:c>
      <x:c r="E39" s="10" t="n">
        <x:f>C39*D39</x:f>
        <x:v>5.98</x:v>
      </x:c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2" customHeight="1">
      <x:c r="C40" s="2" t="str">
        <x:v>Ø Beitrag brutto</x:v>
      </x:c>
      <x:c r="D40" s="2"/>
      <x:c r="E40" s="10" t="n">
        <x:f>SUM(E35:E39)</x:f>
        <x:v>61</x:v>
      </x:c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2" customHeight="1">
      <x:c r="C41" s="2" t="str">
        <x:v>Gewichte gesamt</x:v>
      </x:c>
      <x:c r="D41" s="2"/>
      <x:c r="E41" s="10" t="n">
        <x:f>SUM(D35:D39)</x:f>
        <x:v>1</x:v>
      </x:c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2" customHeight="1"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2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2" customHeight="1">
      <x:c r="C44" s="2" t="str">
        <x:v>Gebührenbasis</x:v>
      </x:c>
      <x:c r="D44" s="2"/>
      <x:c r="E44" s="2" t="str">
        <x:v>Kickstarter DE: 5 % und 3 % + 0,30 EUR; Abruf 01.10.2026</x:v>
      </x:c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2" customHeight="1">
      <x:c r="C45" s="2" t="str">
        <x:v>Quelle Kickstarter</x:v>
      </x:c>
      <x:c r="D45" s="2"/>
      <x:c r="E45" s="2" t="str">
        <x:v>https://www.kickstarter.com/help/fees?country=DE</x:v>
      </x:c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2" customHeight="1">
      <x:c r="C46" s="2" t="str">
        <x:v>Steam-Abrechnung</x:v>
      </x:c>
      <x:c r="D46" s="2"/>
      <x:c r="E46" s="2" t="str">
        <x:v>Abzüge vor Revenue Share; Anteil 30 % ist Modellannahme.</x:v>
      </x:c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2" customHeight="1">
      <x:c r="C47" s="2" t="str">
        <x:v>Quelle Steam</x:v>
      </x:c>
      <x:c r="D47" s="2"/>
      <x:c r="E47" s="2" t="str">
        <x:v>https://partner.steamgames.com/doc/finance/payments_salesreporting/faq</x:v>
      </x:c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2" customHeight="1">
      <x:c r="C48" s="2" t="str">
        <x:v>Umsatzsteuer</x:v>
      </x:c>
      <x:c r="D48" s="2"/>
      <x:c r="E48" s="2" t="str">
        <x:v>Vereinfachende 19 %-Reserve; Länder-/Reward-Behandlung offen.</x:v>
      </x:c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2" customHeight="1">
      <x:c r="C49" s="2" t="str">
        <x:v>Absatz und Kosten</x:v>
      </x:c>
      <x:c r="D49" s="2"/>
      <x:c r="E49" s="2" t="str">
        <x:v>Eigene Planungsannahmen; keine Ist-Zahlen oder Angebote.</x:v>
      </x:c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2" customHeight="1">
      <x:c r="C50" s="2" t="str">
        <x:v>Betriebskosten</x:v>
      </x:c>
      <x:c r="D50" s="2"/>
      <x:c r="E50" s="2" t="str">
        <x:v>Fixkosten ohne Server-Variable; aktive Jahresend-Nutzer für 12 Monate.</x:v>
      </x:c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2" customHeight="1">
      <x:c r="C51" s="2" t="str">
        <x:v>Erweiterung</x:v>
      </x:c>
      <x:c r="D51" s="2"/>
      <x:c r="E51" s="2" t="str">
        <x:v>Ein Kauf pro Eigentümer; ab kommerziellem Jahr 2 modelliert.</x:v>
      </x:c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2" customHeight="1">
      <x:c r="C52" s="2" t="str">
        <x:v>Zeitbasis</x:v>
      </x:c>
      <x:c r="D52" s="2"/>
      <x:c r="E52" s="2" t="str">
        <x:v>Relative Monate ab finanziertem Start; Jahre ab tatsächlichem Release.</x:v>
      </x:c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2" customHeight="1">
      <x:c r="C53" s="2" t="str">
        <x:v>Finanzierung</x:v>
      </x:c>
      <x:c r="D53" s="2"/>
      <x:c r="E53" s="2" t="str">
        <x:v>Keine Zusage belegt. Modellzuflüsse sind geplante erforderliche Mittel.</x:v>
      </x:c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2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2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2" customHeight="1"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2" customHeight="1"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2" customHeight="1"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2" customHeight="1"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2" customHeight="1"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2" customHeight="1"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2" customHeight="1"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2" customHeight="1"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2" customHeight="1"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2" customHeight="1"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</x:sheetData>
  <x:mergeCells>
    <x:mergeCell ref="E44:L44"/>
    <x:mergeCell ref="E45:L45"/>
    <x:mergeCell ref="E46:L46"/>
    <x:mergeCell ref="E47:L47"/>
    <x:mergeCell ref="E48:L48"/>
    <x:mergeCell ref="E49:L49"/>
    <x:mergeCell ref="E50:L50"/>
    <x:mergeCell ref="E51:L51"/>
    <x:mergeCell ref="E52:L52"/>
    <x:mergeCell ref="E53:L53"/>
  </x:mergeCells>
  <x:dataValidations count="1">
    <x:dataValidation type="list" sqref="E4">
      <x:formula1>"1,2,3"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9D8D2"/>
  </x:sheetPr>
  <x:sheetViews>
    <x:sheetView showGridLines="0" workbookViewId="0"/>
  </x:sheetViews>
  <x:sheetFormatPr defaultRowHeight="15"/>
  <x:cols>
    <x:col min="3" max="3" width="4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2" ht="22" customHeight="1">
      <x:c r="C2" s="4" t="str">
        <x:v>EAST WEST ECONOMICS · Budget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2" customHeight="1">
      <x:c r="C3" s="6" t="str">
        <x:v>Planungsrechnung · EUR · Stand 01.10.2026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42" customHeight="1">
      <x:c r="C5" s="17" t="str">
        <x:v>Phase</x:v>
      </x:c>
      <x:c r="D5" s="17" t="str">
        <x:v>Monate</x:v>
      </x:c>
      <x:c r="E5" s="17" t="str">
        <x:v>FTE</x:v>
      </x:c>
      <x:c r="F5" s="17" t="str">
        <x:v>EUR/FTE-Monat</x:v>
      </x:c>
      <x:c r="G5" s="17" t="str">
        <x:v>Personal</x:v>
      </x:c>
      <x:c r="H5" s="17" t="str">
        <x:v>Design/Content</x:v>
      </x:c>
      <x:c r="I5" s="17" t="str">
        <x:v>Infrastruktur</x:v>
      </x:c>
      <x:c r="J5" s="17" t="str">
        <x:v>QA</x:v>
      </x:c>
      <x:c r="K5" s="17" t="str">
        <x:v>Recht</x:v>
      </x:c>
      <x:c r="L5" s="17" t="str">
        <x:v>Marketing</x:v>
      </x:c>
      <x:c r="M5" s="17" t="str">
        <x:v>Grundbudget</x:v>
      </x:c>
      <x:c r="N5" s="17" t="str">
        <x:v>Reserve</x:v>
      </x:c>
      <x:c r="O5" s="17" t="str">
        <x:v>Budget inkl. Reserve</x:v>
      </x:c>
    </x:row>
    <x:row r="6" ht="22" customHeight="1">
      <x:c r="C6" s="2" t="str">
        <x:v>A · Technical Proof und Vertical Slice</x:v>
      </x:c>
      <x:c r="D6" s="7" t="n">
        <x:v>6</x:v>
      </x:c>
      <x:c r="E6" s="7" t="n">
        <x:v>2.5</x:v>
      </x:c>
      <x:c r="F6" s="7" t="n">
        <x:v>6500</x:v>
      </x:c>
      <x:c r="G6" s="19" t="n">
        <x:f>D6*E6*F6</x:f>
        <x:v>97500</x:v>
      </x:c>
      <x:c r="H6" s="20" t="n">
        <x:v>18000</x:v>
      </x:c>
      <x:c r="I6" s="20" t="n">
        <x:v>4500</x:v>
      </x:c>
      <x:c r="J6" s="20" t="n">
        <x:v>7500</x:v>
      </x:c>
      <x:c r="K6" s="20" t="n">
        <x:v>6000</x:v>
      </x:c>
      <x:c r="L6" s="20" t="n">
        <x:v>16500</x:v>
      </x:c>
      <x:c r="M6" s="19" t="n">
        <x:f>SUM(G6:L6)</x:f>
        <x:v>150000</x:v>
      </x:c>
      <x:c r="N6" s="19" t="n">
        <x:f>M6*$E$14</x:f>
        <x:v>30000</x:v>
      </x:c>
      <x:c r="O6" s="21" t="n">
        <x:f>(M6+N6)*Annahmen!$E$6</x:f>
        <x:v>180000</x:v>
      </x:c>
    </x:row>
    <x:row r="7" ht="22" customHeight="1">
      <x:c r="C7" s="2" t="str">
        <x:v>B · Begrenzte Produktion und Veröffentlichung</x:v>
      </x:c>
      <x:c r="D7" s="7" t="n">
        <x:v>18</x:v>
      </x:c>
      <x:c r="E7" s="7" t="n">
        <x:v>5</x:v>
      </x:c>
      <x:c r="F7" s="7" t="n">
        <x:v>6500</x:v>
      </x:c>
      <x:c r="G7" s="19" t="n">
        <x:f>D7*E7*F7</x:f>
        <x:v>585000</x:v>
      </x:c>
      <x:c r="H7" s="20" t="n">
        <x:v>90000</x:v>
      </x:c>
      <x:c r="I7" s="20" t="n">
        <x:v>30000</x:v>
      </x:c>
      <x:c r="J7" s="20" t="n">
        <x:v>50000</x:v>
      </x:c>
      <x:c r="K7" s="20" t="n">
        <x:v>20000</x:v>
      </x:c>
      <x:c r="L7" s="20" t="n">
        <x:v>75000</x:v>
      </x:c>
      <x:c r="M7" s="19" t="n">
        <x:f>SUM(G7:L7)</x:f>
        <x:v>850000</x:v>
      </x:c>
      <x:c r="N7" s="19" t="n">
        <x:f>M7*$E$14</x:f>
        <x:v>170000</x:v>
      </x:c>
      <x:c r="O7" s="21" t="n">
        <x:f>(M7+N7)*Annahmen!$E$6</x:f>
        <x:v>1020000</x:v>
      </x:c>
    </x:row>
    <x:row r="8" ht="22" customHeight="1">
      <x:c r="C8" s="2"/>
      <x:c r="D8" s="2"/>
      <x:c r="E8" s="2"/>
      <x:c r="F8" s="2"/>
      <x:c r="G8" s="22"/>
      <x:c r="H8" s="22"/>
      <x:c r="I8" s="22"/>
      <x:c r="J8" s="22"/>
      <x:c r="K8" s="22"/>
      <x:c r="L8" s="22"/>
      <x:c r="M8" s="22"/>
      <x:c r="N8" s="22"/>
      <x:c r="O8" s="22"/>
    </x:row>
    <x:row r="9" ht="22" customHeight="1">
      <x:c r="C9" s="2" t="str">
        <x:v>Gesamtfinanzierungsbedarf</x:v>
      </x:c>
      <x:c r="D9" s="2"/>
      <x:c r="E9" s="2"/>
      <x:c r="F9" s="2"/>
      <x:c r="G9" s="22"/>
      <x:c r="H9" s="22"/>
      <x:c r="I9" s="22"/>
      <x:c r="J9" s="22"/>
      <x:c r="K9" s="22"/>
      <x:c r="L9" s="22"/>
      <x:c r="M9" s="22"/>
      <x:c r="N9" s="22"/>
      <x:c r="O9" s="19" t="n">
        <x:f>SUM(O6:O7)</x:f>
        <x:v>1200000</x:v>
      </x:c>
    </x:row>
    <x:row r="10" ht="22" customHeight="1"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2" customHeight="1"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2" customHeight="1">
      <x:c r="C12" s="2" t="str">
        <x:v>Szenario</x:v>
      </x:c>
      <x:c r="D12" s="2"/>
      <x:c r="E12" s="18" t="str">
        <x:f>CHOOSE(Annahmen!E4,"Vorsichtig","Basis","Wachstum")</x:f>
        <x:v>Basis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2" customHeight="1"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2" customHeight="1">
      <x:c r="C14" s="2" t="str">
        <x:v>Reservequote</x:v>
      </x:c>
      <x:c r="D14" s="2"/>
      <x:c r="E14" s="14" t="n">
        <x:v>0.2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2" customHeight="1"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2" customHeight="1">
      <x:c r="C16" s="2" t="str">
        <x:v>Planungsbasis: 2,5 bzw. 5 FTE mit 6.500 EUR monatlichen Vollkosten.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2" customHeight="1">
      <x:c r="C17" s="2" t="str">
        <x:v>Keine bestätigte Besetzung oder Dienstleisterangebote.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2" customHeight="1">
      <x:c r="C18" s="2" t="str">
        <x:v>24 Monate decken nur den begrenzten Erstumfang, keine globale Vollsimulation.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2" customHeight="1"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2" customHeight="1"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2" customHeight="1"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2" customHeight="1"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2" customHeight="1"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2" customHeight="1"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2" customHeight="1"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2" customHeight="1"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2" customHeight="1"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2" customHeight="1"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2" customHeight="1"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2" customHeight="1"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2" customHeight="1"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2" customHeight="1"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2" customHeight="1"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2" customHeight="1"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2" customHeight="1"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2" customHeight="1"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2" customHeight="1"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2" customHeight="1"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2" customHeight="1"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2" customHeight="1"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2" customHeight="1"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2" customHeight="1"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2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2" customHeight="1"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2" customHeight="1"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2" customHeight="1"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2" customHeight="1"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2" customHeight="1"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2" customHeight="1"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2" customHeight="1"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2" customHeight="1"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2" customHeight="1"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2" customHeight="1"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2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2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2" customHeight="1"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2" customHeight="1"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2" customHeight="1"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2" customHeight="1"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2" customHeight="1"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2" customHeight="1"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2" customHeight="1"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2" customHeight="1"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2" customHeight="1"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2" customHeight="1"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D9D8D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3" max="3" width="4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2" ht="22" customHeight="1">
      <x:c r="C2" s="4" t="str">
        <x:v>EAST WEST ECONOMICS · Liquidität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2" customHeight="1">
      <x:c r="C3" s="6" t="str">
        <x:v>Planungsrechnung · EUR · Stand 01.10.2026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44" customHeight="1">
      <x:c r="C5" s="17" t="str">
        <x:v>Relativer Monat</x:v>
      </x:c>
      <x:c r="D5" s="17" t="str">
        <x:v>Anfang Modellkasse</x:v>
      </x:c>
      <x:c r="E5" s="17" t="str">
        <x:v>Geplanter Kapitalzufluss</x:v>
      </x:c>
      <x:c r="F5" s="17" t="str">
        <x:v>Budgetverbrauch</x:v>
      </x:c>
      <x:c r="G5" s="17" t="str">
        <x:v>Ende Modellkasse</x:v>
      </x:c>
      <x:c r="H5" s="17" t="str">
        <x:v>Ohne Kapitalzuflüsse</x:v>
      </x:c>
      <x:c r="I5" s="2"/>
      <x:c r="J5" s="2"/>
      <x:c r="K5" s="2"/>
      <x:c r="L5" s="2"/>
      <x:c r="M5" s="2"/>
      <x:c r="N5" s="2"/>
      <x:c r="O5" s="2"/>
    </x:row>
    <x:row r="6" ht="22" customHeight="1">
      <x:c r="C6" s="2" t="n">
        <x:v>1</x:v>
      </x:c>
      <x:c r="D6" s="19" t="n">
        <x:f>0</x:f>
        <x:v>0</x:v>
      </x:c>
      <x:c r="E6" s="21" t="n">
        <x:f>Budget!O6</x:f>
        <x:v>180000</x:v>
      </x:c>
      <x:c r="F6" s="21" t="n">
        <x:f>Budget!O6/Budget!D6</x:f>
        <x:v>30000</x:v>
      </x:c>
      <x:c r="G6" s="19" t="n">
        <x:f>D6+E6-F6</x:f>
        <x:v>150000</x:v>
      </x:c>
      <x:c r="H6" s="19" t="n">
        <x:f>-SUM($F$6:F6)</x:f>
        <x:v>-30000</x:v>
      </x:c>
      <x:c r="I6" s="2"/>
      <x:c r="J6" s="2"/>
      <x:c r="K6" s="2"/>
      <x:c r="L6" s="2"/>
      <x:c r="M6" s="2"/>
      <x:c r="N6" s="2"/>
      <x:c r="O6" s="2"/>
    </x:row>
    <x:row r="7" ht="22" customHeight="1">
      <x:c r="C7" s="2" t="n">
        <x:v>2</x:v>
      </x:c>
      <x:c r="D7" s="19" t="n">
        <x:f>G6</x:f>
        <x:v>150000</x:v>
      </x:c>
      <x:c r="E7" s="19" t="n">
        <x:f>0</x:f>
        <x:v>0</x:v>
      </x:c>
      <x:c r="F7" s="21" t="n">
        <x:f>Budget!O6/Budget!D6</x:f>
        <x:v>30000</x:v>
      </x:c>
      <x:c r="G7" s="19" t="n">
        <x:f>D7+E7-F7</x:f>
        <x:v>120000</x:v>
      </x:c>
      <x:c r="H7" s="19" t="n">
        <x:f>-SUM($F$6:F7)</x:f>
        <x:v>-60000</x:v>
      </x:c>
      <x:c r="I7" s="2"/>
      <x:c r="J7" s="2"/>
      <x:c r="K7" s="2"/>
      <x:c r="L7" s="2"/>
      <x:c r="M7" s="2"/>
      <x:c r="N7" s="2"/>
      <x:c r="O7" s="2"/>
    </x:row>
    <x:row r="8" ht="22" customHeight="1">
      <x:c r="C8" s="2" t="n">
        <x:v>3</x:v>
      </x:c>
      <x:c r="D8" s="19" t="n">
        <x:f>G7</x:f>
        <x:v>120000</x:v>
      </x:c>
      <x:c r="E8" s="19" t="n">
        <x:f>0</x:f>
        <x:v>0</x:v>
      </x:c>
      <x:c r="F8" s="21" t="n">
        <x:f>Budget!O6/Budget!D6</x:f>
        <x:v>30000</x:v>
      </x:c>
      <x:c r="G8" s="19" t="n">
        <x:f>D8+E8-F8</x:f>
        <x:v>90000</x:v>
      </x:c>
      <x:c r="H8" s="19" t="n">
        <x:f>-SUM($F$6:F8)</x:f>
        <x:v>-90000</x:v>
      </x:c>
      <x:c r="I8" s="2"/>
      <x:c r="J8" s="2"/>
      <x:c r="K8" s="2"/>
      <x:c r="L8" s="2"/>
      <x:c r="M8" s="2"/>
      <x:c r="N8" s="2"/>
      <x:c r="O8" s="2"/>
    </x:row>
    <x:row r="9" ht="22" customHeight="1">
      <x:c r="C9" s="2" t="n">
        <x:v>4</x:v>
      </x:c>
      <x:c r="D9" s="19" t="n">
        <x:f>G8</x:f>
        <x:v>90000</x:v>
      </x:c>
      <x:c r="E9" s="19" t="n">
        <x:f>0</x:f>
        <x:v>0</x:v>
      </x:c>
      <x:c r="F9" s="21" t="n">
        <x:f>Budget!O6/Budget!D6</x:f>
        <x:v>30000</x:v>
      </x:c>
      <x:c r="G9" s="19" t="n">
        <x:f>D9+E9-F9</x:f>
        <x:v>60000</x:v>
      </x:c>
      <x:c r="H9" s="19" t="n">
        <x:f>-SUM($F$6:F9)</x:f>
        <x:v>-120000</x:v>
      </x:c>
      <x:c r="I9" s="2"/>
      <x:c r="J9" s="2"/>
      <x:c r="K9" s="2"/>
      <x:c r="L9" s="2"/>
      <x:c r="M9" s="2"/>
      <x:c r="N9" s="2"/>
      <x:c r="O9" s="2"/>
    </x:row>
    <x:row r="10" ht="22" customHeight="1">
      <x:c r="C10" s="2" t="n">
        <x:v>5</x:v>
      </x:c>
      <x:c r="D10" s="19" t="n">
        <x:f>G9</x:f>
        <x:v>60000</x:v>
      </x:c>
      <x:c r="E10" s="19" t="n">
        <x:f>0</x:f>
        <x:v>0</x:v>
      </x:c>
      <x:c r="F10" s="21" t="n">
        <x:f>Budget!O6/Budget!D6</x:f>
        <x:v>30000</x:v>
      </x:c>
      <x:c r="G10" s="19" t="n">
        <x:f>D10+E10-F10</x:f>
        <x:v>30000</x:v>
      </x:c>
      <x:c r="H10" s="19" t="n">
        <x:f>-SUM($F$6:F10)</x:f>
        <x:v>-150000</x:v>
      </x:c>
      <x:c r="I10" s="2"/>
      <x:c r="J10" s="2"/>
      <x:c r="K10" s="2"/>
      <x:c r="L10" s="2"/>
      <x:c r="M10" s="2"/>
      <x:c r="N10" s="2"/>
      <x:c r="O10" s="2"/>
    </x:row>
    <x:row r="11" ht="22" customHeight="1">
      <x:c r="C11" s="2" t="n">
        <x:v>6</x:v>
      </x:c>
      <x:c r="D11" s="19" t="n">
        <x:f>G10</x:f>
        <x:v>30000</x:v>
      </x:c>
      <x:c r="E11" s="19" t="n">
        <x:f>0</x:f>
        <x:v>0</x:v>
      </x:c>
      <x:c r="F11" s="21" t="n">
        <x:f>Budget!O6/Budget!D6</x:f>
        <x:v>30000</x:v>
      </x:c>
      <x:c r="G11" s="19" t="n">
        <x:f>D11+E11-F11</x:f>
        <x:v>0</x:v>
      </x:c>
      <x:c r="H11" s="19" t="n">
        <x:f>-SUM($F$6:F11)</x:f>
        <x:v>-180000</x:v>
      </x:c>
      <x:c r="I11" s="2"/>
      <x:c r="J11" s="2"/>
      <x:c r="K11" s="2"/>
      <x:c r="L11" s="2"/>
      <x:c r="M11" s="2"/>
      <x:c r="N11" s="2"/>
      <x:c r="O11" s="2"/>
    </x:row>
    <x:row r="12" ht="22" customHeight="1">
      <x:c r="C12" s="2" t="n">
        <x:v>7</x:v>
      </x:c>
      <x:c r="D12" s="19" t="n">
        <x:f>G11</x:f>
        <x:v>0</x:v>
      </x:c>
      <x:c r="E12" s="21" t="n">
        <x:f>Budget!O7</x:f>
        <x:v>1020000</x:v>
      </x:c>
      <x:c r="F12" s="21" t="n">
        <x:f>Budget!O7/Budget!D7</x:f>
        <x:v>56666.666666666664</x:v>
      </x:c>
      <x:c r="G12" s="19" t="n">
        <x:f>D12+E12-F12</x:f>
        <x:v>963333.3333333334</x:v>
      </x:c>
      <x:c r="H12" s="19" t="n">
        <x:f>-SUM($F$6:F12)</x:f>
        <x:v>-236666.66666666666</x:v>
      </x:c>
      <x:c r="I12" s="2"/>
      <x:c r="J12" s="2"/>
      <x:c r="K12" s="2"/>
      <x:c r="L12" s="2"/>
      <x:c r="M12" s="2"/>
      <x:c r="N12" s="2"/>
      <x:c r="O12" s="2"/>
    </x:row>
    <x:row r="13" ht="22" customHeight="1">
      <x:c r="C13" s="2" t="n">
        <x:v>8</x:v>
      </x:c>
      <x:c r="D13" s="19" t="n">
        <x:f>G12</x:f>
        <x:v>963333.3333333334</x:v>
      </x:c>
      <x:c r="E13" s="19" t="n">
        <x:f>0</x:f>
        <x:v>0</x:v>
      </x:c>
      <x:c r="F13" s="21" t="n">
        <x:f>Budget!O7/Budget!D7</x:f>
        <x:v>56666.666666666664</x:v>
      </x:c>
      <x:c r="G13" s="19" t="n">
        <x:f>D13+E13-F13</x:f>
        <x:v>906666.6666666667</x:v>
      </x:c>
      <x:c r="H13" s="19" t="n">
        <x:f>-SUM($F$6:F13)</x:f>
        <x:v>-293333.3333333333</x:v>
      </x:c>
      <x:c r="I13" s="2"/>
      <x:c r="J13" s="2"/>
      <x:c r="K13" s="2"/>
      <x:c r="L13" s="2"/>
      <x:c r="M13" s="2"/>
      <x:c r="N13" s="2"/>
      <x:c r="O13" s="2"/>
    </x:row>
    <x:row r="14" ht="22" customHeight="1">
      <x:c r="C14" s="2" t="n">
        <x:v>9</x:v>
      </x:c>
      <x:c r="D14" s="19" t="n">
        <x:f>G13</x:f>
        <x:v>906666.6666666667</x:v>
      </x:c>
      <x:c r="E14" s="19" t="n">
        <x:f>0</x:f>
        <x:v>0</x:v>
      </x:c>
      <x:c r="F14" s="21" t="n">
        <x:f>Budget!O7/Budget!D7</x:f>
        <x:v>56666.666666666664</x:v>
      </x:c>
      <x:c r="G14" s="19" t="n">
        <x:f>D14+E14-F14</x:f>
        <x:v>850000.0000000001</x:v>
      </x:c>
      <x:c r="H14" s="19" t="n">
        <x:f>-SUM($F$6:F14)</x:f>
        <x:v>-350000</x:v>
      </x:c>
      <x:c r="I14" s="2"/>
      <x:c r="J14" s="2"/>
      <x:c r="K14" s="2"/>
      <x:c r="L14" s="2"/>
      <x:c r="M14" s="2"/>
      <x:c r="N14" s="2"/>
      <x:c r="O14" s="2"/>
    </x:row>
    <x:row r="15" ht="22" customHeight="1">
      <x:c r="C15" s="2" t="n">
        <x:v>10</x:v>
      </x:c>
      <x:c r="D15" s="19" t="n">
        <x:f>G14</x:f>
        <x:v>850000.0000000001</x:v>
      </x:c>
      <x:c r="E15" s="19" t="n">
        <x:f>0</x:f>
        <x:v>0</x:v>
      </x:c>
      <x:c r="F15" s="21" t="n">
        <x:f>Budget!O7/Budget!D7</x:f>
        <x:v>56666.666666666664</x:v>
      </x:c>
      <x:c r="G15" s="19" t="n">
        <x:f>D15+E15-F15</x:f>
        <x:v>793333.3333333335</x:v>
      </x:c>
      <x:c r="H15" s="19" t="n">
        <x:f>-SUM($F$6:F15)</x:f>
        <x:v>-406666.6666666667</x:v>
      </x:c>
      <x:c r="I15" s="2"/>
      <x:c r="J15" s="2"/>
      <x:c r="K15" s="2"/>
      <x:c r="L15" s="2"/>
      <x:c r="M15" s="2"/>
      <x:c r="N15" s="2"/>
      <x:c r="O15" s="2"/>
    </x:row>
    <x:row r="16" ht="22" customHeight="1">
      <x:c r="C16" s="2" t="n">
        <x:v>11</x:v>
      </x:c>
      <x:c r="D16" s="19" t="n">
        <x:f>G15</x:f>
        <x:v>793333.3333333335</x:v>
      </x:c>
      <x:c r="E16" s="19" t="n">
        <x:f>0</x:f>
        <x:v>0</x:v>
      </x:c>
      <x:c r="F16" s="21" t="n">
        <x:f>Budget!O7/Budget!D7</x:f>
        <x:v>56666.666666666664</x:v>
      </x:c>
      <x:c r="G16" s="19" t="n">
        <x:f>D16+E16-F16</x:f>
        <x:v>736666.6666666669</x:v>
      </x:c>
      <x:c r="H16" s="19" t="n">
        <x:f>-SUM($F$6:F16)</x:f>
        <x:v>-463333.3333333334</x:v>
      </x:c>
      <x:c r="I16" s="2"/>
      <x:c r="J16" s="2"/>
      <x:c r="K16" s="2"/>
      <x:c r="L16" s="2"/>
      <x:c r="M16" s="2"/>
      <x:c r="N16" s="2"/>
      <x:c r="O16" s="2"/>
    </x:row>
    <x:row r="17" ht="22" customHeight="1">
      <x:c r="C17" s="2" t="n">
        <x:v>12</x:v>
      </x:c>
      <x:c r="D17" s="19" t="n">
        <x:f>G16</x:f>
        <x:v>736666.6666666669</x:v>
      </x:c>
      <x:c r="E17" s="19" t="n">
        <x:f>0</x:f>
        <x:v>0</x:v>
      </x:c>
      <x:c r="F17" s="21" t="n">
        <x:f>Budget!O7/Budget!D7</x:f>
        <x:v>56666.666666666664</x:v>
      </x:c>
      <x:c r="G17" s="19" t="n">
        <x:f>D17+E17-F17</x:f>
        <x:v>680000.0000000002</x:v>
      </x:c>
      <x:c r="H17" s="19" t="n">
        <x:f>-SUM($F$6:F17)</x:f>
        <x:v>-520000.00000000006</x:v>
      </x:c>
      <x:c r="I17" s="2"/>
      <x:c r="J17" s="2"/>
      <x:c r="K17" s="2"/>
      <x:c r="L17" s="2"/>
      <x:c r="M17" s="2"/>
      <x:c r="N17" s="2"/>
      <x:c r="O17" s="2"/>
    </x:row>
    <x:row r="18" ht="22" customHeight="1">
      <x:c r="C18" s="2" t="n">
        <x:v>13</x:v>
      </x:c>
      <x:c r="D18" s="19" t="n">
        <x:f>G17</x:f>
        <x:v>680000.0000000002</x:v>
      </x:c>
      <x:c r="E18" s="19" t="n">
        <x:f>0</x:f>
        <x:v>0</x:v>
      </x:c>
      <x:c r="F18" s="21" t="n">
        <x:f>Budget!O7/Budget!D7</x:f>
        <x:v>56666.666666666664</x:v>
      </x:c>
      <x:c r="G18" s="19" t="n">
        <x:f>D18+E18-F18</x:f>
        <x:v>623333.3333333336</x:v>
      </x:c>
      <x:c r="H18" s="19" t="n">
        <x:f>-SUM($F$6:F18)</x:f>
        <x:v>-576666.6666666667</x:v>
      </x:c>
      <x:c r="I18" s="2"/>
      <x:c r="J18" s="2"/>
      <x:c r="K18" s="2"/>
      <x:c r="L18" s="2"/>
      <x:c r="M18" s="2"/>
      <x:c r="N18" s="2"/>
      <x:c r="O18" s="2"/>
    </x:row>
    <x:row r="19" ht="22" customHeight="1">
      <x:c r="C19" s="2" t="n">
        <x:v>14</x:v>
      </x:c>
      <x:c r="D19" s="19" t="n">
        <x:f>G18</x:f>
        <x:v>623333.3333333336</x:v>
      </x:c>
      <x:c r="E19" s="19" t="n">
        <x:f>0</x:f>
        <x:v>0</x:v>
      </x:c>
      <x:c r="F19" s="21" t="n">
        <x:f>Budget!O7/Budget!D7</x:f>
        <x:v>56666.666666666664</x:v>
      </x:c>
      <x:c r="G19" s="19" t="n">
        <x:f>D19+E19-F19</x:f>
        <x:v>566666.666666667</x:v>
      </x:c>
      <x:c r="H19" s="19" t="n">
        <x:f>-SUM($F$6:F19)</x:f>
        <x:v>-633333.3333333334</x:v>
      </x:c>
      <x:c r="I19" s="2"/>
      <x:c r="J19" s="2"/>
      <x:c r="K19" s="2"/>
      <x:c r="L19" s="2"/>
      <x:c r="M19" s="2"/>
      <x:c r="N19" s="2"/>
      <x:c r="O19" s="2"/>
    </x:row>
    <x:row r="20" ht="22" customHeight="1">
      <x:c r="C20" s="2" t="n">
        <x:v>15</x:v>
      </x:c>
      <x:c r="D20" s="19" t="n">
        <x:f>G19</x:f>
        <x:v>566666.666666667</x:v>
      </x:c>
      <x:c r="E20" s="19" t="n">
        <x:f>0</x:f>
        <x:v>0</x:v>
      </x:c>
      <x:c r="F20" s="21" t="n">
        <x:f>Budget!O7/Budget!D7</x:f>
        <x:v>56666.666666666664</x:v>
      </x:c>
      <x:c r="G20" s="19" t="n">
        <x:f>D20+E20-F20</x:f>
        <x:v>510000.0000000003</x:v>
      </x:c>
      <x:c r="H20" s="19" t="n">
        <x:f>-SUM($F$6:F20)</x:f>
        <x:v>-690000</x:v>
      </x:c>
      <x:c r="I20" s="2"/>
      <x:c r="J20" s="2"/>
      <x:c r="K20" s="2"/>
      <x:c r="L20" s="2"/>
      <x:c r="M20" s="2"/>
      <x:c r="N20" s="2"/>
      <x:c r="O20" s="2"/>
    </x:row>
    <x:row r="21" ht="22" customHeight="1">
      <x:c r="C21" s="2" t="n">
        <x:v>16</x:v>
      </x:c>
      <x:c r="D21" s="19" t="n">
        <x:f>G20</x:f>
        <x:v>510000.0000000003</x:v>
      </x:c>
      <x:c r="E21" s="19" t="n">
        <x:f>0</x:f>
        <x:v>0</x:v>
      </x:c>
      <x:c r="F21" s="21" t="n">
        <x:f>Budget!O7/Budget!D7</x:f>
        <x:v>56666.666666666664</x:v>
      </x:c>
      <x:c r="G21" s="19" t="n">
        <x:f>D21+E21-F21</x:f>
        <x:v>453333.3333333336</x:v>
      </x:c>
      <x:c r="H21" s="19" t="n">
        <x:f>-SUM($F$6:F21)</x:f>
        <x:v>-746666.6666666666</x:v>
      </x:c>
      <x:c r="I21" s="2"/>
      <x:c r="J21" s="2"/>
      <x:c r="K21" s="2"/>
      <x:c r="L21" s="2"/>
      <x:c r="M21" s="2"/>
      <x:c r="N21" s="2"/>
      <x:c r="O21" s="2"/>
    </x:row>
    <x:row r="22" ht="22" customHeight="1">
      <x:c r="C22" s="2" t="n">
        <x:v>17</x:v>
      </x:c>
      <x:c r="D22" s="19" t="n">
        <x:f>G21</x:f>
        <x:v>453333.3333333336</x:v>
      </x:c>
      <x:c r="E22" s="19" t="n">
        <x:f>0</x:f>
        <x:v>0</x:v>
      </x:c>
      <x:c r="F22" s="21" t="n">
        <x:f>Budget!O7/Budget!D7</x:f>
        <x:v>56666.666666666664</x:v>
      </x:c>
      <x:c r="G22" s="19" t="n">
        <x:f>D22+E22-F22</x:f>
        <x:v>396666.6666666669</x:v>
      </x:c>
      <x:c r="H22" s="19" t="n">
        <x:f>-SUM($F$6:F22)</x:f>
        <x:v>-803333.3333333333</x:v>
      </x:c>
      <x:c r="I22" s="2"/>
      <x:c r="J22" s="2"/>
      <x:c r="K22" s="2"/>
      <x:c r="L22" s="2"/>
      <x:c r="M22" s="2"/>
      <x:c r="N22" s="2"/>
      <x:c r="O22" s="2"/>
    </x:row>
    <x:row r="23" ht="22" customHeight="1">
      <x:c r="C23" s="2" t="n">
        <x:v>18</x:v>
      </x:c>
      <x:c r="D23" s="19" t="n">
        <x:f>G22</x:f>
        <x:v>396666.6666666669</x:v>
      </x:c>
      <x:c r="E23" s="19" t="n">
        <x:f>0</x:f>
        <x:v>0</x:v>
      </x:c>
      <x:c r="F23" s="21" t="n">
        <x:f>Budget!O7/Budget!D7</x:f>
        <x:v>56666.666666666664</x:v>
      </x:c>
      <x:c r="G23" s="19" t="n">
        <x:f>D23+E23-F23</x:f>
        <x:v>340000.00000000023</x:v>
      </x:c>
      <x:c r="H23" s="19" t="n">
        <x:f>-SUM($F$6:F23)</x:f>
        <x:v>-859999.9999999999</x:v>
      </x:c>
      <x:c r="I23" s="2"/>
      <x:c r="J23" s="2"/>
      <x:c r="K23" s="2"/>
      <x:c r="L23" s="2"/>
      <x:c r="M23" s="2"/>
      <x:c r="N23" s="2"/>
      <x:c r="O23" s="2"/>
    </x:row>
    <x:row r="24" ht="22" customHeight="1">
      <x:c r="C24" s="2" t="n">
        <x:v>19</x:v>
      </x:c>
      <x:c r="D24" s="19" t="n">
        <x:f>G23</x:f>
        <x:v>340000.00000000023</x:v>
      </x:c>
      <x:c r="E24" s="19" t="n">
        <x:f>0</x:f>
        <x:v>0</x:v>
      </x:c>
      <x:c r="F24" s="21" t="n">
        <x:f>Budget!O7/Budget!D7</x:f>
        <x:v>56666.666666666664</x:v>
      </x:c>
      <x:c r="G24" s="19" t="n">
        <x:f>D24+E24-F24</x:f>
        <x:v>283333.33333333355</x:v>
      </x:c>
      <x:c r="H24" s="19" t="n">
        <x:f>-SUM($F$6:F24)</x:f>
        <x:v>-916666.6666666665</x:v>
      </x:c>
      <x:c r="I24" s="2"/>
      <x:c r="J24" s="2"/>
      <x:c r="K24" s="2"/>
      <x:c r="L24" s="2"/>
      <x:c r="M24" s="2"/>
      <x:c r="N24" s="2"/>
      <x:c r="O24" s="2"/>
    </x:row>
    <x:row r="25" ht="22" customHeight="1">
      <x:c r="C25" s="2" t="n">
        <x:v>20</x:v>
      </x:c>
      <x:c r="D25" s="19" t="n">
        <x:f>G24</x:f>
        <x:v>283333.33333333355</x:v>
      </x:c>
      <x:c r="E25" s="19" t="n">
        <x:f>0</x:f>
        <x:v>0</x:v>
      </x:c>
      <x:c r="F25" s="21" t="n">
        <x:f>Budget!O7/Budget!D7</x:f>
        <x:v>56666.666666666664</x:v>
      </x:c>
      <x:c r="G25" s="19" t="n">
        <x:f>D25+E25-F25</x:f>
        <x:v>226666.6666666669</x:v>
      </x:c>
      <x:c r="H25" s="19" t="n">
        <x:f>-SUM($F$6:F25)</x:f>
        <x:v>-973333.3333333331</x:v>
      </x:c>
      <x:c r="I25" s="2"/>
      <x:c r="J25" s="2"/>
      <x:c r="K25" s="2"/>
      <x:c r="L25" s="2"/>
      <x:c r="M25" s="2"/>
      <x:c r="N25" s="2"/>
      <x:c r="O25" s="2"/>
    </x:row>
    <x:row r="26" ht="22" customHeight="1">
      <x:c r="C26" s="2" t="n">
        <x:v>21</x:v>
      </x:c>
      <x:c r="D26" s="19" t="n">
        <x:f>G25</x:f>
        <x:v>226666.6666666669</x:v>
      </x:c>
      <x:c r="E26" s="19" t="n">
        <x:f>0</x:f>
        <x:v>0</x:v>
      </x:c>
      <x:c r="F26" s="21" t="n">
        <x:f>Budget!O7/Budget!D7</x:f>
        <x:v>56666.666666666664</x:v>
      </x:c>
      <x:c r="G26" s="19" t="n">
        <x:f>D26+E26-F26</x:f>
        <x:v>170000.00000000023</x:v>
      </x:c>
      <x:c r="H26" s="19" t="n">
        <x:f>-SUM($F$6:F26)</x:f>
        <x:v>-1029999.9999999998</x:v>
      </x:c>
      <x:c r="I26" s="2"/>
      <x:c r="J26" s="2"/>
      <x:c r="K26" s="2"/>
      <x:c r="L26" s="2"/>
      <x:c r="M26" s="2"/>
      <x:c r="N26" s="2"/>
      <x:c r="O26" s="2"/>
    </x:row>
    <x:row r="27" ht="22" customHeight="1">
      <x:c r="C27" s="2" t="n">
        <x:v>22</x:v>
      </x:c>
      <x:c r="D27" s="19" t="n">
        <x:f>G26</x:f>
        <x:v>170000.00000000023</x:v>
      </x:c>
      <x:c r="E27" s="19" t="n">
        <x:f>0</x:f>
        <x:v>0</x:v>
      </x:c>
      <x:c r="F27" s="21" t="n">
        <x:f>Budget!O7/Budget!D7</x:f>
        <x:v>56666.666666666664</x:v>
      </x:c>
      <x:c r="G27" s="19" t="n">
        <x:f>D27+E27-F27</x:f>
        <x:v>113333.33333333358</x:v>
      </x:c>
      <x:c r="H27" s="19" t="n">
        <x:f>-SUM($F$6:F27)</x:f>
        <x:v>-1086666.6666666665</x:v>
      </x:c>
      <x:c r="I27" s="2"/>
      <x:c r="J27" s="2"/>
      <x:c r="K27" s="2"/>
      <x:c r="L27" s="2"/>
      <x:c r="M27" s="2"/>
      <x:c r="N27" s="2"/>
      <x:c r="O27" s="2"/>
    </x:row>
    <x:row r="28" ht="22" customHeight="1">
      <x:c r="C28" s="2" t="n">
        <x:v>23</x:v>
      </x:c>
      <x:c r="D28" s="19" t="n">
        <x:f>G27</x:f>
        <x:v>113333.33333333358</x:v>
      </x:c>
      <x:c r="E28" s="19" t="n">
        <x:f>0</x:f>
        <x:v>0</x:v>
      </x:c>
      <x:c r="F28" s="21" t="n">
        <x:f>Budget!O7/Budget!D7</x:f>
        <x:v>56666.666666666664</x:v>
      </x:c>
      <x:c r="G28" s="19" t="n">
        <x:f>D28+E28-F28</x:f>
        <x:v>56666.66666666691</x:v>
      </x:c>
      <x:c r="H28" s="19" t="n">
        <x:f>-SUM($F$6:F28)</x:f>
        <x:v>-1143333.3333333333</x:v>
      </x:c>
      <x:c r="I28" s="2"/>
      <x:c r="J28" s="2"/>
      <x:c r="K28" s="2"/>
      <x:c r="L28" s="2"/>
      <x:c r="M28" s="2"/>
      <x:c r="N28" s="2"/>
      <x:c r="O28" s="2"/>
    </x:row>
    <x:row r="29" ht="22" customHeight="1">
      <x:c r="C29" s="2" t="n">
        <x:v>24</x:v>
      </x:c>
      <x:c r="D29" s="19" t="n">
        <x:f>G28</x:f>
        <x:v>56666.66666666691</x:v>
      </x:c>
      <x:c r="E29" s="19" t="n">
        <x:f>0</x:f>
        <x:v>0</x:v>
      </x:c>
      <x:c r="F29" s="21" t="n">
        <x:f>Budget!O7/Budget!D7</x:f>
        <x:v>56666.666666666664</x:v>
      </x:c>
      <x:c r="G29" s="19" t="n">
        <x:f>D29+E29-F29</x:f>
        <x:v>2.473825588822365e-10</x:v>
      </x:c>
      <x:c r="H29" s="19" t="n">
        <x:f>-SUM($F$6:F29)</x:f>
        <x:v>-1200000</x:v>
      </x:c>
      <x:c r="I29" s="2"/>
      <x:c r="J29" s="2"/>
      <x:c r="K29" s="2"/>
      <x:c r="L29" s="2"/>
      <x:c r="M29" s="2"/>
      <x:c r="N29" s="2"/>
      <x:c r="O29" s="2"/>
    </x:row>
    <x:row r="30" ht="22" customHeight="1"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2" customHeight="1"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2" customHeight="1">
      <x:c r="C32" s="2" t="str">
        <x:v>Geplante Mittelzuflüsse sind keine zugesagte oder vorhandene Liquidität.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2" customHeight="1">
      <x:c r="C33" s="2" t="str">
        <x:v>Volle Phase vor Start finanzieren; Auszahlung im Modell M1 und M7.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2" customHeight="1">
      <x:c r="C34" s="2" t="str">
        <x:v>Budget inkl. Reserve wird gleichmäßig verbraucht; Zahlplan noch abzustimmen.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2" customHeight="1">
      <x:c r="C35" s="2" t="str">
        <x:v>Keine Vorabverkäufe oder Early-Access-Erlöse finanzieren diesen Bauplan.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2" customHeight="1"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2" customHeight="1"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2" customHeight="1"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2" customHeight="1"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2" customHeight="1"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2" customHeight="1"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2" customHeight="1"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2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2" customHeight="1"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2" customHeight="1"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2" customHeight="1"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2" customHeight="1"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2" customHeight="1"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2" customHeight="1"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2" customHeight="1"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2" customHeight="1"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2" customHeight="1"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2" customHeight="1"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2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2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2" customHeight="1"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2" customHeight="1"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2" customHeight="1"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2" customHeight="1"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2" customHeight="1"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2" customHeight="1"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2" customHeight="1"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2" customHeight="1"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2" customHeight="1"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2" customHeight="1"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D9D8D2"/>
  </x:sheetPr>
  <x:sheetViews>
    <x:sheetView showGridLines="0" workbookViewId="0"/>
  </x:sheetViews>
  <x:sheetFormatPr defaultRowHeight="15"/>
  <x:cols>
    <x:col min="3" max="3" width="4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2" ht="22" customHeight="1">
      <x:c r="C2" s="4" t="str">
        <x:v>EAST WEST ECONOMICS · Crowdfunding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2" customHeight="1">
      <x:c r="C3" s="6" t="str">
        <x:v>Planungsrechnung · EUR · Stand 01.10.2026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2" customHeight="1">
      <x:c r="C5" s="9" t="str">
        <x:v>Finanzierungsrechnung</x:v>
      </x:c>
      <x:c r="D5" s="9" t="str"/>
      <x:c r="E5" s="9" t="str">
        <x:v>EUR / Anzahl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2" customHeight="1">
      <x:c r="C6" s="2" t="str">
        <x:v>Bruttoziel</x:v>
      </x:c>
      <x:c r="D6" s="2"/>
      <x:c r="E6" s="21" t="n">
        <x:f>Annahmen!E24</x:f>
        <x:v>150000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2" customHeight="1">
      <x:c r="C7" s="2" t="str">
        <x:v>Ø Beitrag brutto</x:v>
      </x:c>
      <x:c r="D7" s="2"/>
      <x:c r="E7" s="25" t="n">
        <x:f>Annahmen!E40</x:f>
        <x:v>61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2" customHeight="1">
      <x:c r="C8" s="2" t="str">
        <x:v>Erforderliche Backer</x:v>
      </x:c>
      <x:c r="D8" s="2"/>
      <x:c r="E8" s="15" t="n">
        <x:f>ROUNDUP(E6/E7,0)</x:f>
        <x:v>2460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22" customHeight="1">
      <x:c r="C9" s="2" t="str">
        <x:v>Zahlungsausfälle</x:v>
      </x:c>
      <x:c r="D9" s="2"/>
      <x:c r="E9" s="21" t="n">
        <x:f>E6*Annahmen!E25</x:f>
        <x:v>4500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22" customHeight="1">
      <x:c r="C10" s="2" t="str">
        <x:v>Eingegangene Zusagen</x:v>
      </x:c>
      <x:c r="D10" s="2"/>
      <x:c r="E10" s="19" t="n">
        <x:f>E6-E9</x:f>
        <x:v>145500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2" customHeight="1">
      <x:c r="C11" s="2" t="str">
        <x:v>Plattformgebühr</x:v>
      </x:c>
      <x:c r="D11" s="2"/>
      <x:c r="E11" s="21" t="n">
        <x:f>E10*Annahmen!E26</x:f>
        <x:v>7275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2" customHeight="1">
      <x:c r="C12" s="2" t="str">
        <x:v>Payment variabel</x:v>
      </x:c>
      <x:c r="D12" s="2"/>
      <x:c r="E12" s="21" t="n">
        <x:f>E10*Annahmen!E27</x:f>
        <x:v>4365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2" customHeight="1">
      <x:c r="C13" s="2" t="str">
        <x:v>Payment fix</x:v>
      </x:c>
      <x:c r="D13" s="2"/>
      <x:c r="E13" s="21" t="n">
        <x:f>E8*Annahmen!E28</x:f>
        <x:v>738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2" customHeight="1">
      <x:c r="C14" s="2" t="str">
        <x:v>Steuerreserve</x:v>
      </x:c>
      <x:c r="D14" s="2"/>
      <x:c r="E14" s="21" t="n">
        <x:f>E10*Annahmen!E29/(1+Annahmen!E29)</x:f>
        <x:v>23231.09243697479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2" customHeight="1">
      <x:c r="C15" s="2" t="str">
        <x:v>Reward-Erfüllung</x:v>
      </x:c>
      <x:c r="D15" s="2"/>
      <x:c r="E15" s="21" t="n">
        <x:f>E8*Annahmen!E30</x:f>
        <x:v>14760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2" customHeight="1">
      <x:c r="C16" s="2" t="str">
        <x:v>Für Entwicklung verfügbar</x:v>
      </x:c>
      <x:c r="D16" s="2"/>
      <x:c r="E16" s="19" t="n">
        <x:f>E10-SUM(E11:E15)</x:f>
        <x:v>95130.9075630252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2" customHeight="1">
      <x:c r="C17" s="2" t="str">
        <x:v>Qualifizierte Leads als Ziel</x:v>
      </x:c>
      <x:c r="D17" s="2"/>
      <x:c r="E17" s="24" t="n">
        <x:f>ROUNDUP(E8/Annahmen!E31,0)</x:f>
        <x:v>24600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2" customHeight="1">
      <x:c r="C18" s="2" t="str">
        <x:v>Restbedarf Phase B</x:v>
      </x:c>
      <x:c r="D18" s="2"/>
      <x:c r="E18" s="21" t="n">
        <x:f>MAX(0,Budget!O7-E16)</x:f>
        <x:v>924869.0924369748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2" customHeight="1">
      <x:c r="C19" s="2" t="str">
        <x:v>Pre-Seed-Bedarf Phase A</x:v>
      </x:c>
      <x:c r="D19" s="2"/>
      <x:c r="E19" s="21" t="n">
        <x:f>Budget!O6</x:f>
        <x:v>180000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2" customHeight="1">
      <x:c r="C20" s="2" t="str">
        <x:v>Privat-/Publisher-Mittel gesamt</x:v>
      </x:c>
      <x:c r="D20" s="2"/>
      <x:c r="E20" s="19" t="n">
        <x:f>SUM(E18:E19)</x:f>
        <x:v>1104869.0924369749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2" customHeight="1"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2" customHeight="1"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2" customHeight="1">
      <x:c r="C23" s="2" t="str">
        <x:v>Kampagnenentwurf; kein Checkout und keine Geldannahme.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2" customHeight="1">
      <x:c r="C24" s="2" t="str">
        <x:v>Steuerreserve ist ein Sicherheitsansatz, keine individuelle Steuerberechnung.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2" customHeight="1">
      <x:c r="C25" s="2" t="str">
        <x:v>Leads, Backer und 10 % Conversion sind Zielannahmen, keine Ist-Werte.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2" customHeight="1">
      <x:c r="C26" s="2" t="str">
        <x:v>Crowdfunding-Zugänge zählen nicht erneut als Retail-Verkäufe.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2" customHeight="1"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2" customHeight="1"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2" customHeight="1"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2" customHeight="1"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2" customHeight="1"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2" customHeight="1"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2" customHeight="1"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2" customHeight="1"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2" customHeight="1"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2" customHeight="1"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2" customHeight="1"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2" customHeight="1"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2" customHeight="1"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2" customHeight="1"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2" customHeight="1"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2" customHeight="1"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2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2" customHeight="1"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2" customHeight="1"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2" customHeight="1"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2" customHeight="1"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2" customHeight="1"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2" customHeight="1"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2" customHeight="1"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2" customHeight="1"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2" customHeight="1"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2" customHeight="1"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2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2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2" customHeight="1"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2" customHeight="1"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2" customHeight="1"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2" customHeight="1"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2" customHeight="1"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2" customHeight="1"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2" customHeight="1"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2" customHeight="1"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2" customHeight="1"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2" customHeight="1"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D9D8D2"/>
  </x:sheetPr>
  <x:sheetViews>
    <x:sheetView showGridLines="0" workbookViewId="0"/>
  </x:sheetViews>
  <x:sheetFormatPr defaultRowHeight="15"/>
  <x:cols>
    <x:col min="3" max="3" width="4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2" ht="22" customHeight="1">
      <x:c r="C2" s="4" t="str">
        <x:v>EAST WEST ECONOMICS · Verwertung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2" customHeight="1">
      <x:c r="C3" s="6" t="str">
        <x:v>Planungsrechnung · EUR · Stand 01.10.2026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2" customHeight="1">
      <x:c r="C5" s="9" t="str">
        <x:v>Kommerzielle Periode</x:v>
      </x:c>
      <x:c r="D5" s="9" t="str">
        <x:v>Jahr 1</x:v>
      </x:c>
      <x:c r="E5" s="9" t="str">
        <x:v>Jahr 2</x:v>
      </x:c>
      <x:c r="F5" s="9" t="str">
        <x:v>Jahr 3</x:v>
      </x:c>
      <x:c r="G5" s="9" t="str">
        <x:v>Summe / Wert</x:v>
      </x:c>
      <x:c r="H5" s="2"/>
      <x:c r="I5" s="2"/>
      <x:c r="J5" s="2"/>
      <x:c r="K5" s="2"/>
      <x:c r="L5" s="2"/>
      <x:c r="M5" s="2"/>
      <x:c r="N5" s="2"/>
      <x:c r="O5" s="2"/>
    </x:row>
    <x:row r="6" ht="22" customHeight="1">
      <x:c r="C6" s="2" t="str">
        <x:v>Retail-Verkäufe ohne Reward-Zugänge</x:v>
      </x:c>
      <x:c r="D6" s="24" t="n">
        <x:f>Annahmen!E10</x:f>
        <x:v>40000</x:v>
      </x:c>
      <x:c r="E6" s="24" t="n">
        <x:f>Annahmen!E11</x:f>
        <x:v>55000</x:v>
      </x:c>
      <x:c r="F6" s="24" t="n">
        <x:f>Annahmen!E12</x:f>
        <x:v>55000</x:v>
      </x:c>
      <x:c r="G6" s="15" t="n">
        <x:f>SUM(D6:F6)</x:f>
        <x:v>150000</x:v>
      </x:c>
      <x:c r="H6" s="2"/>
      <x:c r="I6" s="2"/>
      <x:c r="J6" s="2"/>
      <x:c r="K6" s="2"/>
      <x:c r="L6" s="2"/>
      <x:c r="M6" s="2"/>
      <x:c r="N6" s="2"/>
      <x:c r="O6" s="2"/>
    </x:row>
    <x:row r="7" ht="22" customHeight="1">
      <x:c r="C7" s="2" t="str">
        <x:v>Eigentümer kumuliert</x:v>
      </x:c>
      <x:c r="D7" s="24" t="n">
        <x:f>D6+ROUNDUP(Crowdfunding!E8*(1-Annahmen!E25)*(1-Annahmen!D35),0)</x:f>
        <x:v>42148</x:v>
      </x:c>
      <x:c r="E7" s="15" t="n">
        <x:f>D7+E6</x:f>
        <x:v>97148</x:v>
      </x:c>
      <x:c r="F7" s="15" t="n">
        <x:f>E7+F6</x:f>
        <x:v>152148</x:v>
      </x:c>
      <x:c r="G7" s="26"/>
      <x:c r="H7" s="2"/>
      <x:c r="I7" s="2"/>
      <x:c r="J7" s="2"/>
      <x:c r="K7" s="2"/>
      <x:c r="L7" s="2"/>
      <x:c r="M7" s="2"/>
      <x:c r="N7" s="2"/>
      <x:c r="O7" s="2"/>
    </x:row>
    <x:row r="8" ht="22" customHeight="1">
      <x:c r="C8" s="2" t="str">
        <x:v>Listenpreis brutto</x:v>
      </x:c>
      <x:c r="D8" s="25" t="n">
        <x:f>Annahmen!E7</x:f>
        <x:v>34.9</x:v>
      </x:c>
      <x:c r="E8" s="25" t="n">
        <x:f>Annahmen!E7</x:f>
        <x:v>34.9</x:v>
      </x:c>
      <x:c r="F8" s="25" t="n">
        <x:f>Annahmen!E7</x:f>
        <x:v>34.9</x:v>
      </x:c>
      <x:c r="G8" s="27"/>
      <x:c r="H8" s="2"/>
      <x:c r="I8" s="2"/>
      <x:c r="J8" s="2"/>
      <x:c r="K8" s="2"/>
      <x:c r="L8" s="2"/>
      <x:c r="M8" s="2"/>
      <x:c r="N8" s="2"/>
      <x:c r="O8" s="2"/>
    </x:row>
    <x:row r="9" ht="22" customHeight="1">
      <x:c r="C9" s="2" t="str">
        <x:v>Preis nach Nachlass und Steuer</x:v>
      </x:c>
      <x:c r="D9" s="25" t="n">
        <x:f>D8*(1-Annahmen!E8)/(1+Annahmen!E19)</x:f>
        <x:v>24.92857142857143</x:v>
      </x:c>
      <x:c r="E9" s="25" t="n">
        <x:f>E8*(1-Annahmen!E8)/(1+Annahmen!E19)</x:f>
        <x:v>24.92857142857143</x:v>
      </x:c>
      <x:c r="F9" s="25" t="n">
        <x:f>F8*(1-Annahmen!E8)/(1+Annahmen!E19)</x:f>
        <x:v>24.92857142857143</x:v>
      </x:c>
      <x:c r="G9" s="27"/>
      <x:c r="H9" s="2"/>
      <x:c r="I9" s="2"/>
      <x:c r="J9" s="2"/>
      <x:c r="K9" s="2"/>
      <x:c r="L9" s="2"/>
      <x:c r="M9" s="2"/>
      <x:c r="N9" s="2"/>
      <x:c r="O9" s="2"/>
    </x:row>
    <x:row r="10" ht="22" customHeight="1">
      <x:c r="C10" s="2" t="str">
        <x:v>Erlös pro Verkauf nach Erstattung/Plattform</x:v>
      </x:c>
      <x:c r="D10" s="25" t="n">
        <x:f>D9*(1-Annahmen!E9)*(1-Annahmen!E20)</x:f>
        <x:v>16.5775</x:v>
      </x:c>
      <x:c r="E10" s="25" t="n">
        <x:f>E9*(1-Annahmen!E9)*(1-Annahmen!E20)</x:f>
        <x:v>16.5775</x:v>
      </x:c>
      <x:c r="F10" s="25" t="n">
        <x:f>F9*(1-Annahmen!E9)*(1-Annahmen!E20)</x:f>
        <x:v>16.5775</x:v>
      </x:c>
      <x:c r="G10" s="27"/>
      <x:c r="H10" s="2"/>
      <x:c r="I10" s="2"/>
      <x:c r="J10" s="2"/>
      <x:c r="K10" s="2"/>
      <x:c r="L10" s="2"/>
      <x:c r="M10" s="2"/>
      <x:c r="N10" s="2"/>
      <x:c r="O10" s="2"/>
    </x:row>
    <x:row r="11" ht="22" customHeight="1">
      <x:c r="C11" s="2" t="str">
        <x:v>Game-Zufluss nach Abzügen</x:v>
      </x:c>
      <x:c r="D11" s="19" t="n">
        <x:f>D6*D10</x:f>
        <x:v>663100</x:v>
      </x:c>
      <x:c r="E11" s="19" t="n">
        <x:f>E6*E10</x:f>
        <x:v>911762.5</x:v>
      </x:c>
      <x:c r="F11" s="19" t="n">
        <x:f>F6*F10</x:f>
        <x:v>911762.5</x:v>
      </x:c>
      <x:c r="G11" s="19" t="n">
        <x:f>SUM(D11:F11)</x:f>
        <x:v>2486625</x:v>
      </x:c>
      <x:c r="H11" s="2"/>
      <x:c r="I11" s="2"/>
      <x:c r="J11" s="2"/>
      <x:c r="K11" s="2"/>
      <x:c r="L11" s="2"/>
      <x:c r="M11" s="2"/>
      <x:c r="N11" s="2"/>
      <x:c r="O11" s="2"/>
    </x:row>
    <x:row r="12" ht="22" customHeight="1">
      <x:c r="C12" s="2" t="str">
        <x:v>Erweiterungskäufe</x:v>
      </x:c>
      <x:c r="D12" s="15" t="n">
        <x:f>0</x:f>
        <x:v>0</x:v>
      </x:c>
      <x:c r="E12" s="24" t="n">
        <x:f>(D6+E6)*Annahmen!E16</x:f>
        <x:v>14250</x:v>
      </x:c>
      <x:c r="F12" s="24" t="n">
        <x:f>F6*Annahmen!E16</x:f>
        <x:v>8250</x:v>
      </x:c>
      <x:c r="G12" s="15" t="n">
        <x:f>SUM(D12:F12)</x:f>
        <x:v>22500</x:v>
      </x:c>
      <x:c r="H12" s="2"/>
      <x:c r="I12" s="2"/>
      <x:c r="J12" s="2"/>
      <x:c r="K12" s="2"/>
      <x:c r="L12" s="2"/>
      <x:c r="M12" s="2"/>
      <x:c r="N12" s="2"/>
      <x:c r="O12" s="2"/>
    </x:row>
    <x:row r="13" ht="22" customHeight="1">
      <x:c r="C13" s="2" t="str">
        <x:v>Erweiterung je Kauf nach Abzügen</x:v>
      </x:c>
      <x:c r="D13" s="25" t="n">
        <x:f>Annahmen!E21*(1-Annahmen!E22)/(1+Annahmen!E19)*(1-Annahmen!E23)*(1-Annahmen!E20)</x:f>
        <x:v>7.730470588235295</x:v>
      </x:c>
      <x:c r="E13" s="25" t="n">
        <x:f>Annahmen!E21*(1-Annahmen!E22)/(1+Annahmen!E19)*(1-Annahmen!E23)*(1-Annahmen!E20)</x:f>
        <x:v>7.730470588235295</x:v>
      </x:c>
      <x:c r="F13" s="25" t="n">
        <x:f>Annahmen!E21*(1-Annahmen!E22)/(1+Annahmen!E19)*(1-Annahmen!E23)*(1-Annahmen!E20)</x:f>
        <x:v>7.730470588235295</x:v>
      </x:c>
      <x:c r="G13" s="27"/>
      <x:c r="H13" s="2"/>
      <x:c r="I13" s="2"/>
      <x:c r="J13" s="2"/>
      <x:c r="K13" s="2"/>
      <x:c r="L13" s="2"/>
      <x:c r="M13" s="2"/>
      <x:c r="N13" s="2"/>
      <x:c r="O13" s="2"/>
    </x:row>
    <x:row r="14" ht="22" customHeight="1">
      <x:c r="C14" s="2" t="str">
        <x:v>Erweiterungs-Zufluss</x:v>
      </x:c>
      <x:c r="D14" s="19" t="n">
        <x:f>D12*D13</x:f>
        <x:v>0</x:v>
      </x:c>
      <x:c r="E14" s="19" t="n">
        <x:f>E12*E13</x:f>
        <x:v>110159.20588235295</x:v>
      </x:c>
      <x:c r="F14" s="19" t="n">
        <x:f>F12*F13</x:f>
        <x:v>63776.38235294118</x:v>
      </x:c>
      <x:c r="G14" s="19" t="n">
        <x:f>SUM(D14:F14)</x:f>
        <x:v>173935.58823529413</x:v>
      </x:c>
      <x:c r="H14" s="2"/>
      <x:c r="I14" s="2"/>
      <x:c r="J14" s="2"/>
      <x:c r="K14" s="2"/>
      <x:c r="L14" s="2"/>
      <x:c r="M14" s="2"/>
      <x:c r="N14" s="2"/>
      <x:c r="O14" s="2"/>
    </x:row>
    <x:row r="15" ht="22" customHeight="1">
      <x:c r="C15" s="2" t="str">
        <x:v>Studio-Zuflüsse insgesamt</x:v>
      </x:c>
      <x:c r="D15" s="19" t="n">
        <x:f>SUM(D11,D14)</x:f>
        <x:v>663100</x:v>
      </x:c>
      <x:c r="E15" s="19" t="n">
        <x:f>SUM(E11,E14)</x:f>
        <x:v>1021921.705882353</x:v>
      </x:c>
      <x:c r="F15" s="19" t="n">
        <x:f>SUM(F11,F14)</x:f>
        <x:v>975538.8823529412</x:v>
      </x:c>
      <x:c r="G15" s="19" t="n">
        <x:f>SUM(D15:F15)</x:f>
        <x:v>2660560.5882352944</x:v>
      </x:c>
      <x:c r="H15" s="2"/>
      <x:c r="I15" s="2"/>
      <x:c r="J15" s="2"/>
      <x:c r="K15" s="2"/>
      <x:c r="L15" s="2"/>
      <x:c r="M15" s="2"/>
      <x:c r="N15" s="2"/>
      <x:c r="O15" s="2"/>
    </x:row>
    <x:row r="16" ht="22" customHeight="1">
      <x:c r="C16" s="2"/>
      <x:c r="D16" s="22"/>
      <x:c r="E16" s="22"/>
      <x:c r="F16" s="22"/>
      <x:c r="G16" s="22"/>
      <x:c r="H16" s="2"/>
      <x:c r="I16" s="2"/>
      <x:c r="J16" s="2"/>
      <x:c r="K16" s="2"/>
      <x:c r="L16" s="2"/>
      <x:c r="M16" s="2"/>
      <x:c r="N16" s="2"/>
      <x:c r="O16" s="2"/>
    </x:row>
    <x:row r="17" ht="22" customHeight="1">
      <x:c r="C17" s="2" t="str">
        <x:v>Betriebsfixkosten</x:v>
      </x:c>
      <x:c r="D17" s="21" t="n">
        <x:f>Annahmen!E13</x:f>
        <x:v>210000</x:v>
      </x:c>
      <x:c r="E17" s="21" t="n">
        <x:f>Annahmen!E13</x:f>
        <x:v>210000</x:v>
      </x:c>
      <x:c r="F17" s="21" t="n">
        <x:f>Annahmen!E13</x:f>
        <x:v>210000</x:v>
      </x:c>
      <x:c r="G17" s="19" t="n">
        <x:f>SUM(D17:F17)</x:f>
        <x:v>630000</x:v>
      </x:c>
      <x:c r="H17" s="2"/>
      <x:c r="I17" s="2"/>
      <x:c r="J17" s="2"/>
      <x:c r="K17" s="2"/>
      <x:c r="L17" s="2"/>
      <x:c r="M17" s="2"/>
      <x:c r="N17" s="2"/>
      <x:c r="O17" s="2"/>
    </x:row>
    <x:row r="18" ht="22" customHeight="1">
      <x:c r="C18" s="2" t="str">
        <x:v>Aktive Nutzer (Jahresendbasis)</x:v>
      </x:c>
      <x:c r="D18" s="24" t="n">
        <x:f>D7*Annahmen!E14</x:f>
        <x:v>8429.6</x:v>
      </x:c>
      <x:c r="E18" s="24" t="n">
        <x:f>E7*Annahmen!E14</x:f>
        <x:v>19429.600000000002</x:v>
      </x:c>
      <x:c r="F18" s="24" t="n">
        <x:f>F7*Annahmen!E14</x:f>
        <x:v>30429.600000000002</x:v>
      </x:c>
      <x:c r="G18" s="26"/>
      <x:c r="H18" s="2"/>
      <x:c r="I18" s="2"/>
      <x:c r="J18" s="2"/>
      <x:c r="K18" s="2"/>
      <x:c r="L18" s="2"/>
      <x:c r="M18" s="2"/>
      <x:c r="N18" s="2"/>
      <x:c r="O18" s="2"/>
    </x:row>
    <x:row r="19" ht="22" customHeight="1">
      <x:c r="C19" s="2" t="str">
        <x:v>Serverkosten für 12 Monate</x:v>
      </x:c>
      <x:c r="D19" s="21" t="n">
        <x:f>D18*Annahmen!E15*12</x:f>
        <x:v>30346.56</x:v>
      </x:c>
      <x:c r="E19" s="21" t="n">
        <x:f>E18*Annahmen!E15*12</x:f>
        <x:v>69946.56</x:v>
      </x:c>
      <x:c r="F19" s="21" t="n">
        <x:f>F18*Annahmen!E15*12</x:f>
        <x:v>109546.56000000001</x:v>
      </x:c>
      <x:c r="G19" s="19" t="n">
        <x:f>SUM(D19:F19)</x:f>
        <x:v>209839.68</x:v>
      </x:c>
      <x:c r="H19" s="2"/>
      <x:c r="I19" s="2"/>
      <x:c r="J19" s="2"/>
      <x:c r="K19" s="2"/>
      <x:c r="L19" s="2"/>
      <x:c r="M19" s="2"/>
      <x:c r="N19" s="2"/>
      <x:c r="O19" s="2"/>
    </x:row>
    <x:row r="20" ht="22" customHeight="1">
      <x:c r="C20" s="2" t="str">
        <x:v>Betriebskosten insgesamt</x:v>
      </x:c>
      <x:c r="D20" s="19" t="n">
        <x:f>SUM(D17,D19)</x:f>
        <x:v>240346.56</x:v>
      </x:c>
      <x:c r="E20" s="19" t="n">
        <x:f>SUM(E17,E19)</x:f>
        <x:v>279946.56</x:v>
      </x:c>
      <x:c r="F20" s="19" t="n">
        <x:f>SUM(F17,F19)</x:f>
        <x:v>319546.56</x:v>
      </x:c>
      <x:c r="G20" s="19" t="n">
        <x:f>SUM(D20:F20)</x:f>
        <x:v>839839.6799999999</x:v>
      </x:c>
      <x:c r="H20" s="2"/>
      <x:c r="I20" s="2"/>
      <x:c r="J20" s="2"/>
      <x:c r="K20" s="2"/>
      <x:c r="L20" s="2"/>
      <x:c r="M20" s="2"/>
      <x:c r="N20" s="2"/>
      <x:c r="O20" s="2"/>
    </x:row>
    <x:row r="21" ht="22" customHeight="1">
      <x:c r="C21" s="2"/>
      <x:c r="D21" s="22"/>
      <x:c r="E21" s="22"/>
      <x:c r="F21" s="22"/>
      <x:c r="G21" s="22"/>
      <x:c r="H21" s="2"/>
      <x:c r="I21" s="2"/>
      <x:c r="J21" s="2"/>
      <x:c r="K21" s="2"/>
      <x:c r="L21" s="2"/>
      <x:c r="M21" s="2"/>
      <x:c r="N21" s="2"/>
      <x:c r="O21" s="2"/>
    </x:row>
    <x:row r="22" ht="22" customHeight="1">
      <x:c r="C22" s="2" t="str">
        <x:v>Projektdeckung je Jahr vor Entwicklung</x:v>
      </x:c>
      <x:c r="D22" s="19" t="n">
        <x:f>D15-D20</x:f>
        <x:v>422753.44</x:v>
      </x:c>
      <x:c r="E22" s="19" t="n">
        <x:f>E15-E20</x:f>
        <x:v>741975.145882353</x:v>
      </x:c>
      <x:c r="F22" s="19" t="n">
        <x:f>F15-F20</x:f>
        <x:v>655992.3223529411</x:v>
      </x:c>
      <x:c r="G22" s="19" t="n">
        <x:f>SUM(D22:F22)</x:f>
        <x:v>1820720.908235294</x:v>
      </x:c>
      <x:c r="H22" s="2"/>
      <x:c r="I22" s="2"/>
      <x:c r="J22" s="2"/>
      <x:c r="K22" s="2"/>
      <x:c r="L22" s="2"/>
      <x:c r="M22" s="2"/>
      <x:c r="N22" s="2"/>
      <x:c r="O22" s="2"/>
    </x:row>
    <x:row r="23" ht="22" customHeight="1">
      <x:c r="C23" s="2"/>
      <x:c r="D23" s="22"/>
      <x:c r="E23" s="22"/>
      <x:c r="F23" s="22"/>
      <x:c r="G23" s="22"/>
      <x:c r="H23" s="2"/>
      <x:c r="I23" s="2"/>
      <x:c r="J23" s="2"/>
      <x:c r="K23" s="2"/>
      <x:c r="L23" s="2"/>
      <x:c r="M23" s="2"/>
      <x:c r="N23" s="2"/>
      <x:c r="O23" s="2"/>
    </x:row>
    <x:row r="24" ht="22" customHeight="1">
      <x:c r="C24" s="2" t="str">
        <x:v>Gesamtes Entwicklungsbudget</x:v>
      </x:c>
      <x:c r="D24" s="22"/>
      <x:c r="E24" s="22"/>
      <x:c r="F24" s="22"/>
      <x:c r="G24" s="21" t="n">
        <x:f>Budget!O9</x:f>
        <x:v>1200000</x:v>
      </x:c>
      <x:c r="H24" s="2"/>
      <x:c r="I24" s="2"/>
      <x:c r="J24" s="2"/>
      <x:c r="K24" s="2"/>
      <x:c r="L24" s="2"/>
      <x:c r="M24" s="2"/>
      <x:c r="N24" s="2"/>
      <x:c r="O24" s="2"/>
    </x:row>
    <x:row r="25" ht="22" customHeight="1">
      <x:c r="C25" s="2" t="str">
        <x:v>Crowdfunding für Entwicklung</x:v>
      </x:c>
      <x:c r="D25" s="22"/>
      <x:c r="E25" s="22"/>
      <x:c r="F25" s="22"/>
      <x:c r="G25" s="21" t="n">
        <x:f>Crowdfunding!E16</x:f>
        <x:v>95130.9075630252</x:v>
      </x:c>
      <x:c r="H25" s="2"/>
      <x:c r="I25" s="2"/>
      <x:c r="J25" s="2"/>
      <x:c r="K25" s="2"/>
      <x:c r="L25" s="2"/>
      <x:c r="M25" s="2"/>
      <x:c r="N25" s="2"/>
      <x:c r="O25" s="2"/>
    </x:row>
    <x:row r="26" ht="22" customHeight="1">
      <x:c r="C26" s="2" t="str">
        <x:v>Projektdeckung inkl. CF, ohne Investorenmittel</x:v>
      </x:c>
      <x:c r="D26" s="22"/>
      <x:c r="E26" s="22"/>
      <x:c r="F26" s="22"/>
      <x:c r="G26" s="19" t="n">
        <x:f>G15+G25-G24-G20</x:f>
        <x:v>715851.8157983196</x:v>
      </x:c>
      <x:c r="H26" s="2"/>
      <x:c r="I26" s="2"/>
      <x:c r="J26" s="2"/>
      <x:c r="K26" s="2"/>
      <x:c r="L26" s="2"/>
      <x:c r="M26" s="2"/>
      <x:c r="N26" s="2"/>
      <x:c r="O26" s="2"/>
    </x:row>
    <x:row r="27" ht="22" customHeight="1">
      <x:c r="C27" s="2"/>
      <x:c r="D27" s="22"/>
      <x:c r="E27" s="22"/>
      <x:c r="F27" s="22"/>
      <x:c r="G27" s="22"/>
      <x:c r="H27" s="2"/>
      <x:c r="I27" s="2"/>
      <x:c r="J27" s="2"/>
      <x:c r="K27" s="2"/>
      <x:c r="L27" s="2"/>
      <x:c r="M27" s="2"/>
      <x:c r="N27" s="2"/>
      <x:c r="O27" s="2"/>
    </x:row>
    <x:row r="28" ht="22" customHeight="1">
      <x:c r="C28" s="2" t="str">
        <x:v>Serverkosten je Retail-Eigentümer im Zeitraum</x:v>
      </x:c>
      <x:c r="D28" s="27"/>
      <x:c r="E28" s="27"/>
      <x:c r="F28" s="27"/>
      <x:c r="G28" s="28" t="n">
        <x:f>IF(G6=0,"n.a.",(G19-G31)/G6)</x:f>
        <x:v>1.368</x:v>
      </x:c>
      <x:c r="H28" s="2"/>
      <x:c r="I28" s="2"/>
      <x:c r="J28" s="2"/>
      <x:c r="K28" s="2"/>
      <x:c r="L28" s="2"/>
      <x:c r="M28" s="2"/>
      <x:c r="N28" s="2"/>
      <x:c r="O28" s="2"/>
    </x:row>
    <x:row r="29" ht="22" customHeight="1">
      <x:c r="C29" s="2" t="str">
        <x:v>Deckungsbeitrag je Retail-Eigentümer</x:v>
      </x:c>
      <x:c r="D29" s="27"/>
      <x:c r="E29" s="27"/>
      <x:c r="F29" s="27"/>
      <x:c r="G29" s="28" t="n">
        <x:f>IF(G6=0,"n.a.",G15/G6-G28)</x:f>
        <x:v>16.3690705882353</x:v>
      </x:c>
      <x:c r="H29" s="2"/>
      <x:c r="I29" s="2"/>
      <x:c r="J29" s="2"/>
      <x:c r="K29" s="2"/>
      <x:c r="L29" s="2"/>
      <x:c r="M29" s="2"/>
      <x:c r="N29" s="2"/>
      <x:c r="O29" s="2"/>
    </x:row>
    <x:row r="30" ht="22" customHeight="1">
      <x:c r="C30" s="2" t="str">
        <x:v>Retail-Verkäufe für Budgetdeckung</x:v>
      </x:c>
      <x:c r="D30" s="26"/>
      <x:c r="E30" s="26"/>
      <x:c r="F30" s="26"/>
      <x:c r="G30" s="15" t="n">
        <x:f>IF(G6=0,"n.a.",IF(G29&lt;=0,"n.a.",ROUNDUP((G24+G17+G31-G25)/G29,0)))</x:f>
        <x:v>106269</x:v>
      </x:c>
      <x:c r="H30" s="2"/>
      <x:c r="I30" s="2"/>
      <x:c r="J30" s="2"/>
      <x:c r="K30" s="2"/>
      <x:c r="L30" s="2"/>
      <x:c r="M30" s="2"/>
      <x:c r="N30" s="2"/>
      <x:c r="O30" s="2"/>
    </x:row>
    <x:row r="31" ht="22" customHeight="1">
      <x:c r="C31" s="2" t="str">
        <x:v>Serverkosten Reward-Eigentümer</x:v>
      </x:c>
      <x:c r="D31" s="22"/>
      <x:c r="E31" s="22"/>
      <x:c r="F31" s="22"/>
      <x:c r="G31" s="21" t="n">
        <x:f>(D7-D6)*Annahmen!E14*Annahmen!E15*36</x:f>
        <x:v>4639.68</x:v>
      </x:c>
      <x:c r="H31" s="2"/>
      <x:c r="I31" s="2"/>
      <x:c r="J31" s="2"/>
      <x:c r="K31" s="2"/>
      <x:c r="L31" s="2"/>
      <x:c r="M31" s="2"/>
      <x:c r="N31" s="2"/>
      <x:c r="O31" s="2"/>
    </x:row>
    <x:row r="32" ht="22" customHeight="1"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2" customHeight="1">
      <x:c r="C33" s="2" t="str">
        <x:v>Projektdeckung ist keine GuV, keine Unternehmensbewertung und keine Rendite.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2" customHeight="1">
      <x:c r="C34" s="2" t="str">
        <x:v>Keine Ertrag-/Quellensteuern, FX, Zinsen oder Investor-/Publisher-Anteile.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2" customHeight="1">
      <x:c r="C35" s="2" t="str">
        <x:v>Jahre beginnen erst mit Release. Keine bereits erzielten Umsätze.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2" customHeight="1">
      <x:c r="C36" s="2" t="str">
        <x:v>Serverkosten: Jahresend-Nutzer für 12 Monate, einschließlich Reward-Zugänge.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2" customHeight="1"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2" customHeight="1"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2" customHeight="1"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2" customHeight="1"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2" customHeight="1"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2" customHeight="1"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2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2" customHeight="1"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2" customHeight="1"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2" customHeight="1"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2" customHeight="1"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2" customHeight="1"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2" customHeight="1"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2" customHeight="1"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2" customHeight="1"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2" customHeight="1"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2" customHeight="1"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2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2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2" customHeight="1"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2" customHeight="1"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2" customHeight="1"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2" customHeight="1"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2" customHeight="1"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2" customHeight="1"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2" customHeight="1"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2" customHeight="1"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2" customHeight="1"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2" customHeight="1"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</x:sheetData>
  <x:pageMargins left="0.7" right="0.7" top="0.75" bottom="0.75" header="0.3" footer="0.3"/>
</x:worksheet>
</file>